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555" yWindow="-75" windowWidth="15135" windowHeight="8895" tabRatio="708"/>
  </bookViews>
  <sheets>
    <sheet name="Рецепты" sheetId="2" r:id="rId1"/>
    <sheet name="Balling" sheetId="13" r:id="rId2"/>
    <sheet name="Антифос" sheetId="14" r:id="rId3"/>
    <sheet name="Рецепт 2-компонентный" sheetId="12" r:id="rId4"/>
    <sheet name="Расчеты1" sheetId="6" r:id="rId5"/>
    <sheet name="Расчеты2" sheetId="10" r:id="rId6"/>
    <sheet name="Расчеты3" sheetId="11" r:id="rId7"/>
    <sheet name="Микроэлементы" sheetId="7" r:id="rId8"/>
    <sheet name="NSW" sheetId="5" r:id="rId9"/>
    <sheet name="Реактивы" sheetId="4" r:id="rId10"/>
    <sheet name="Таблица Менделеева" sheetId="1" r:id="rId11"/>
    <sheet name="Растворимость солей" sheetId="3" r:id="rId12"/>
  </sheets>
  <definedNames>
    <definedName name="MgCl2">Реактивы!$Q$3:$Q$4</definedName>
    <definedName name="MgSO4">Реактивы!$Q$1:$Q$2</definedName>
    <definedName name="mgsulphate">Реактивы!$Q$1:$Q$2</definedName>
    <definedName name="Na2SO4">Реактивы!$Q$5:$Q$6</definedName>
    <definedName name="NaSulphate" localSheetId="0">Реактивы!$Q$5:$Q$6</definedName>
  </definedNames>
  <calcPr calcId="144525"/>
</workbook>
</file>

<file path=xl/calcChain.xml><?xml version="1.0" encoding="utf-8"?>
<calcChain xmlns="http://schemas.openxmlformats.org/spreadsheetml/2006/main">
  <c r="AJ7" i="2" l="1"/>
  <c r="D13" i="6"/>
  <c r="D12" i="6"/>
  <c r="D11" i="6"/>
  <c r="D10" i="6"/>
  <c r="D9" i="6"/>
  <c r="D8" i="6"/>
  <c r="D5" i="6"/>
  <c r="D4" i="6"/>
  <c r="D3" i="6"/>
  <c r="D2" i="6"/>
  <c r="D7" i="6"/>
  <c r="D6" i="6"/>
  <c r="AJ4" i="2"/>
  <c r="AL4" i="2" s="1"/>
  <c r="AL2" i="2" s="1"/>
  <c r="AL3" i="2"/>
  <c r="E37" i="4"/>
  <c r="B2" i="14" l="1"/>
  <c r="D6" i="14" l="1"/>
  <c r="L6" i="14"/>
  <c r="L4" i="14"/>
  <c r="L2" i="14"/>
  <c r="F4" i="14"/>
  <c r="D4" i="14"/>
  <c r="B4" i="14"/>
  <c r="B6" i="14" s="1"/>
  <c r="H2" i="14"/>
  <c r="F2" i="14"/>
  <c r="D2" i="14"/>
  <c r="G15" i="13" l="1"/>
  <c r="I13" i="13"/>
  <c r="C14" i="13" s="1"/>
  <c r="E15" i="13"/>
  <c r="E14" i="13"/>
  <c r="D15" i="13"/>
  <c r="D14" i="13"/>
  <c r="B15" i="13"/>
  <c r="B14" i="13"/>
  <c r="C15" i="13" l="1"/>
  <c r="C9" i="13"/>
  <c r="C8" i="13"/>
  <c r="C7" i="13"/>
  <c r="C6" i="13"/>
  <c r="C4" i="13"/>
  <c r="C2" i="13"/>
  <c r="B9" i="13"/>
  <c r="B8" i="13"/>
  <c r="B7" i="13"/>
  <c r="B6" i="13"/>
  <c r="B4" i="13"/>
  <c r="B2" i="13"/>
  <c r="AF11" i="2"/>
  <c r="AG14" i="2"/>
  <c r="AE7" i="2"/>
  <c r="AE8" i="2"/>
  <c r="AE10" i="2"/>
  <c r="AE12" i="2"/>
  <c r="AE14" i="2"/>
  <c r="AE15" i="2"/>
  <c r="AE16" i="2"/>
  <c r="AE21" i="2"/>
  <c r="AE22" i="2"/>
  <c r="AE6" i="2"/>
  <c r="B25" i="12"/>
  <c r="AG17" i="2" s="1"/>
  <c r="B24" i="12"/>
  <c r="AG16" i="2" s="1"/>
  <c r="B23" i="12"/>
  <c r="AG15" i="2" s="1"/>
  <c r="B21" i="12"/>
  <c r="AG13" i="2" s="1"/>
  <c r="B20" i="12"/>
  <c r="AG12" i="2" s="1"/>
  <c r="B17" i="12"/>
  <c r="AG9" i="2" s="1"/>
  <c r="B16" i="12"/>
  <c r="AG8" i="2" s="1"/>
  <c r="B15" i="12"/>
  <c r="AG7" i="2" s="1"/>
  <c r="B14" i="12"/>
  <c r="AG6" i="2" s="1"/>
  <c r="B3" i="12"/>
  <c r="G3" i="12"/>
  <c r="C3" i="12"/>
  <c r="H3" i="12" s="1"/>
  <c r="H6" i="12"/>
  <c r="C11" i="12"/>
  <c r="C10" i="12"/>
  <c r="H10" i="12" s="1"/>
  <c r="B9" i="12"/>
  <c r="G9" i="12" s="1"/>
  <c r="C8" i="12"/>
  <c r="B7" i="12"/>
  <c r="G7" i="12" s="1"/>
  <c r="C5" i="12"/>
  <c r="H5" i="12" s="1"/>
  <c r="B4" i="12"/>
  <c r="G4" i="12" s="1"/>
  <c r="B32" i="11"/>
  <c r="B31" i="11"/>
  <c r="F1" i="11" s="1"/>
  <c r="B30" i="11"/>
  <c r="E1" i="11" s="1"/>
  <c r="B29" i="11"/>
  <c r="B28" i="11"/>
  <c r="B27" i="11"/>
  <c r="B26" i="11"/>
  <c r="C25" i="11"/>
  <c r="E25" i="11" s="1"/>
  <c r="B25" i="11"/>
  <c r="B24" i="11"/>
  <c r="B23" i="11"/>
  <c r="B22" i="11"/>
  <c r="B21" i="11"/>
  <c r="B20" i="11"/>
  <c r="B19" i="11"/>
  <c r="B18" i="11"/>
  <c r="B17" i="11"/>
  <c r="B16" i="11"/>
  <c r="B13" i="11"/>
  <c r="B12" i="11"/>
  <c r="B11" i="11"/>
  <c r="N10" i="11"/>
  <c r="B10" i="11"/>
  <c r="B9" i="11"/>
  <c r="B8" i="11"/>
  <c r="B7" i="11"/>
  <c r="B6" i="11"/>
  <c r="B5" i="11"/>
  <c r="B4" i="11"/>
  <c r="B3" i="11"/>
  <c r="B2" i="11"/>
  <c r="L1" i="11"/>
  <c r="K1" i="11"/>
  <c r="J1" i="11"/>
  <c r="I1" i="11"/>
  <c r="H1" i="11"/>
  <c r="G1" i="11"/>
  <c r="F58" i="2"/>
  <c r="H58" i="2"/>
  <c r="J58" i="2"/>
  <c r="L58" i="2"/>
  <c r="N58" i="2"/>
  <c r="P58" i="2"/>
  <c r="R58" i="2"/>
  <c r="S58" i="2"/>
  <c r="T58" i="2"/>
  <c r="U58" i="2"/>
  <c r="V58" i="2"/>
  <c r="W58" i="2"/>
  <c r="X58" i="2"/>
  <c r="Y58" i="2"/>
  <c r="E32" i="4"/>
  <c r="E17" i="4" s="1"/>
  <c r="E33" i="4"/>
  <c r="E11" i="4"/>
  <c r="K11" i="4" s="1"/>
  <c r="Q8" i="2"/>
  <c r="I8" i="2"/>
  <c r="Y8" i="2"/>
  <c r="O8" i="2"/>
  <c r="M8" i="2"/>
  <c r="K8" i="2"/>
  <c r="E3" i="4"/>
  <c r="K3" i="4" s="1"/>
  <c r="E7" i="4"/>
  <c r="K7" i="4" s="1"/>
  <c r="E18" i="4"/>
  <c r="K18" i="4" s="1"/>
  <c r="K6" i="2"/>
  <c r="K10" i="2"/>
  <c r="K21" i="2"/>
  <c r="G8" i="2"/>
  <c r="R6" i="2"/>
  <c r="O7" i="2"/>
  <c r="M7" i="2"/>
  <c r="K7" i="2"/>
  <c r="G7" i="2"/>
  <c r="T7" i="2"/>
  <c r="U6" i="2"/>
  <c r="U10" i="2"/>
  <c r="E14" i="4"/>
  <c r="H14" i="4" s="1"/>
  <c r="U21" i="2"/>
  <c r="U22" i="2"/>
  <c r="H18" i="4"/>
  <c r="C31" i="11" s="1"/>
  <c r="E35" i="4"/>
  <c r="E19" i="4" s="1"/>
  <c r="W6" i="2"/>
  <c r="W10" i="2"/>
  <c r="W21" i="2"/>
  <c r="W22" i="2"/>
  <c r="Y6" i="2"/>
  <c r="Y10" i="2"/>
  <c r="Y21" i="2"/>
  <c r="Y22" i="2"/>
  <c r="U12" i="2"/>
  <c r="U19" i="2"/>
  <c r="W12" i="2"/>
  <c r="Y12" i="2"/>
  <c r="Y18" i="2"/>
  <c r="T14" i="2"/>
  <c r="U14" i="2" s="1"/>
  <c r="V14" i="2"/>
  <c r="W14" i="2" s="1"/>
  <c r="Y14" i="2"/>
  <c r="U15" i="2"/>
  <c r="W15" i="2"/>
  <c r="Y15" i="2"/>
  <c r="Y49" i="2"/>
  <c r="W49" i="2"/>
  <c r="U49" i="2"/>
  <c r="G10" i="2"/>
  <c r="G15" i="2"/>
  <c r="G58" i="2" s="1"/>
  <c r="G17" i="2"/>
  <c r="I10" i="2"/>
  <c r="I14" i="2"/>
  <c r="K14" i="2"/>
  <c r="M10" i="2"/>
  <c r="M6" i="2"/>
  <c r="M21" i="2"/>
  <c r="M22" i="2"/>
  <c r="M17" i="2"/>
  <c r="O10" i="2"/>
  <c r="O14" i="2"/>
  <c r="O17" i="2"/>
  <c r="Q10" i="2"/>
  <c r="Q14" i="2"/>
  <c r="Q17" i="2"/>
  <c r="R1" i="2"/>
  <c r="S10" i="2" s="1"/>
  <c r="G6" i="2"/>
  <c r="G12" i="2"/>
  <c r="G21" i="2"/>
  <c r="G22" i="2"/>
  <c r="I6" i="2"/>
  <c r="I21" i="2"/>
  <c r="O6" i="2"/>
  <c r="E34" i="4"/>
  <c r="E9" i="4" s="1"/>
  <c r="E15" i="4"/>
  <c r="H15" i="4" s="1"/>
  <c r="E36" i="4"/>
  <c r="E16" i="4" s="1"/>
  <c r="O12" i="2"/>
  <c r="O13" i="2"/>
  <c r="O21" i="2"/>
  <c r="O22" i="2"/>
  <c r="Q6" i="2"/>
  <c r="Q21" i="2"/>
  <c r="Q22" i="2"/>
  <c r="I12" i="2"/>
  <c r="I19" i="2"/>
  <c r="K12" i="2"/>
  <c r="M12" i="2"/>
  <c r="Q12" i="2"/>
  <c r="Q13" i="2"/>
  <c r="I15" i="2"/>
  <c r="I58" i="2" s="1"/>
  <c r="K15" i="2"/>
  <c r="K58" i="2" s="1"/>
  <c r="M15" i="2"/>
  <c r="M58" i="2" s="1"/>
  <c r="O15" i="2"/>
  <c r="O58" i="2" s="1"/>
  <c r="Q15" i="2"/>
  <c r="Q58" i="2" s="1"/>
  <c r="I23" i="2"/>
  <c r="G44" i="2"/>
  <c r="E30" i="4"/>
  <c r="K30" i="4" s="1"/>
  <c r="I43" i="2"/>
  <c r="K43" i="2"/>
  <c r="M44" i="2"/>
  <c r="O44" i="2"/>
  <c r="E49" i="2"/>
  <c r="E32" i="10"/>
  <c r="E27" i="10"/>
  <c r="E28" i="10"/>
  <c r="E29" i="10"/>
  <c r="E2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3" i="10"/>
  <c r="B12" i="10"/>
  <c r="B11" i="10"/>
  <c r="B10" i="10"/>
  <c r="B9" i="10"/>
  <c r="B8" i="10"/>
  <c r="B7" i="10"/>
  <c r="B6" i="10"/>
  <c r="B5" i="10"/>
  <c r="B4" i="10"/>
  <c r="B3" i="10"/>
  <c r="B2" i="10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E1" i="6" s="1"/>
  <c r="B31" i="6"/>
  <c r="F1" i="6" s="1"/>
  <c r="B32" i="6"/>
  <c r="B16" i="6"/>
  <c r="D15" i="4"/>
  <c r="D19" i="4"/>
  <c r="D16" i="4"/>
  <c r="D11" i="4"/>
  <c r="D12" i="4"/>
  <c r="D14" i="4"/>
  <c r="D9" i="4"/>
  <c r="D10" i="4"/>
  <c r="D7" i="4"/>
  <c r="D8" i="4"/>
  <c r="D4" i="4"/>
  <c r="D5" i="4"/>
  <c r="D6" i="4"/>
  <c r="D3" i="4"/>
  <c r="D90" i="2"/>
  <c r="E90" i="2"/>
  <c r="G90" i="2"/>
  <c r="I90" i="2"/>
  <c r="K90" i="2"/>
  <c r="M90" i="2"/>
  <c r="O90" i="2"/>
  <c r="D91" i="2"/>
  <c r="E91" i="2"/>
  <c r="G91" i="2"/>
  <c r="I91" i="2"/>
  <c r="K91" i="2"/>
  <c r="M91" i="2"/>
  <c r="O91" i="2"/>
  <c r="D92" i="2"/>
  <c r="E92" i="2"/>
  <c r="G92" i="2"/>
  <c r="I92" i="2"/>
  <c r="K92" i="2"/>
  <c r="M92" i="2"/>
  <c r="O92" i="2"/>
  <c r="D93" i="2"/>
  <c r="E93" i="2"/>
  <c r="G93" i="2"/>
  <c r="I93" i="2"/>
  <c r="K93" i="2"/>
  <c r="M93" i="2"/>
  <c r="O93" i="2"/>
  <c r="D94" i="2"/>
  <c r="E94" i="2"/>
  <c r="G94" i="2"/>
  <c r="I94" i="2"/>
  <c r="K94" i="2"/>
  <c r="M94" i="2"/>
  <c r="O94" i="2"/>
  <c r="D95" i="2"/>
  <c r="E95" i="2"/>
  <c r="G95" i="2"/>
  <c r="I95" i="2"/>
  <c r="K95" i="2"/>
  <c r="M95" i="2"/>
  <c r="O95" i="2"/>
  <c r="D96" i="2"/>
  <c r="E96" i="2"/>
  <c r="G96" i="2"/>
  <c r="I96" i="2"/>
  <c r="K96" i="2"/>
  <c r="M96" i="2"/>
  <c r="O96" i="2"/>
  <c r="D97" i="2"/>
  <c r="E97" i="2"/>
  <c r="G97" i="2"/>
  <c r="I97" i="2"/>
  <c r="K97" i="2"/>
  <c r="M97" i="2"/>
  <c r="O97" i="2"/>
  <c r="D98" i="2"/>
  <c r="E98" i="2"/>
  <c r="G98" i="2"/>
  <c r="I98" i="2"/>
  <c r="K98" i="2"/>
  <c r="M98" i="2"/>
  <c r="O98" i="2"/>
  <c r="A91" i="2"/>
  <c r="A92" i="2"/>
  <c r="A93" i="2"/>
  <c r="A94" i="2"/>
  <c r="A95" i="2"/>
  <c r="A96" i="2"/>
  <c r="A97" i="2"/>
  <c r="A98" i="2"/>
  <c r="A90" i="2"/>
  <c r="C98" i="2"/>
  <c r="C91" i="2"/>
  <c r="C92" i="2"/>
  <c r="C93" i="2"/>
  <c r="C94" i="2"/>
  <c r="C95" i="2"/>
  <c r="C96" i="2"/>
  <c r="C97" i="2"/>
  <c r="C90" i="2"/>
  <c r="D72" i="5"/>
  <c r="E72" i="5"/>
  <c r="F72" i="5"/>
  <c r="G72" i="5"/>
  <c r="H72" i="5"/>
  <c r="I72" i="5"/>
  <c r="J72" i="5"/>
  <c r="K72" i="5"/>
  <c r="C72" i="5"/>
  <c r="A74" i="5"/>
  <c r="A75" i="5"/>
  <c r="A76" i="5"/>
  <c r="A77" i="5"/>
  <c r="A78" i="5"/>
  <c r="A79" i="5"/>
  <c r="A80" i="5"/>
  <c r="A81" i="5"/>
  <c r="A73" i="5"/>
  <c r="J58" i="5"/>
  <c r="J73" i="5" s="1"/>
  <c r="H58" i="5"/>
  <c r="H73" i="5" s="1"/>
  <c r="G58" i="5"/>
  <c r="G73" i="5" s="1"/>
  <c r="F58" i="5"/>
  <c r="F73" i="5" s="1"/>
  <c r="E58" i="5"/>
  <c r="E73" i="5" s="1"/>
  <c r="D58" i="5"/>
  <c r="D73" i="5" s="1"/>
  <c r="C58" i="5"/>
  <c r="C74" i="5" s="1"/>
  <c r="B3" i="5"/>
  <c r="B51" i="2"/>
  <c r="C66" i="2" s="1"/>
  <c r="B4" i="5"/>
  <c r="C4" i="10" s="1"/>
  <c r="B5" i="5"/>
  <c r="B53" i="2" s="1"/>
  <c r="C68" i="2" s="1"/>
  <c r="B6" i="5"/>
  <c r="B54" i="2"/>
  <c r="C69" i="2" s="1"/>
  <c r="B7" i="5"/>
  <c r="C7" i="10" s="1"/>
  <c r="B8" i="5"/>
  <c r="B56" i="2"/>
  <c r="C71" i="2" s="1"/>
  <c r="B9" i="5"/>
  <c r="B57" i="2" s="1"/>
  <c r="C72" i="2" s="1"/>
  <c r="B10" i="5"/>
  <c r="B58" i="2" s="1"/>
  <c r="B11" i="5"/>
  <c r="B59" i="2" s="1"/>
  <c r="C74" i="2" s="1"/>
  <c r="B12" i="5"/>
  <c r="B60" i="2" s="1"/>
  <c r="C75" i="2" s="1"/>
  <c r="B13" i="5"/>
  <c r="B61" i="2" s="1"/>
  <c r="C76" i="2" s="1"/>
  <c r="B2" i="5"/>
  <c r="B50" i="2"/>
  <c r="C65" i="2" s="1"/>
  <c r="S49" i="2"/>
  <c r="Q49" i="2"/>
  <c r="K15" i="4"/>
  <c r="K49" i="2"/>
  <c r="M49" i="2"/>
  <c r="O49" i="2"/>
  <c r="I49" i="2"/>
  <c r="G49" i="2"/>
  <c r="D49" i="2"/>
  <c r="A51" i="2"/>
  <c r="A66" i="2" s="1"/>
  <c r="A52" i="2"/>
  <c r="A67" i="2" s="1"/>
  <c r="A53" i="2"/>
  <c r="A68" i="2" s="1"/>
  <c r="A54" i="2"/>
  <c r="A69" i="2" s="1"/>
  <c r="A55" i="2"/>
  <c r="A70" i="2" s="1"/>
  <c r="A56" i="2"/>
  <c r="A71" i="2" s="1"/>
  <c r="A57" i="2"/>
  <c r="A72" i="2" s="1"/>
  <c r="A58" i="2"/>
  <c r="A73" i="2" s="1"/>
  <c r="A59" i="2"/>
  <c r="A74" i="2" s="1"/>
  <c r="A60" i="2"/>
  <c r="A75" i="2" s="1"/>
  <c r="A61" i="2"/>
  <c r="A76" i="2" s="1"/>
  <c r="A50" i="2"/>
  <c r="A65" i="2" s="1"/>
  <c r="M38" i="2"/>
  <c r="M25" i="2"/>
  <c r="M26" i="2"/>
  <c r="M33" i="2"/>
  <c r="M34" i="2"/>
  <c r="M36" i="2"/>
  <c r="M37" i="2"/>
  <c r="M39" i="2"/>
  <c r="M40" i="2"/>
  <c r="M42" i="2"/>
  <c r="G26" i="2"/>
  <c r="G29" i="2"/>
  <c r="G30" i="2"/>
  <c r="G31" i="2"/>
  <c r="G32" i="2"/>
  <c r="G33" i="2"/>
  <c r="G34" i="2"/>
  <c r="G36" i="2"/>
  <c r="G37" i="2"/>
  <c r="G39" i="2"/>
  <c r="G41" i="2"/>
  <c r="G42" i="2"/>
  <c r="G25" i="2"/>
  <c r="E29" i="4"/>
  <c r="K29" i="4" s="1"/>
  <c r="C28" i="2"/>
  <c r="I1" i="6"/>
  <c r="G1" i="6"/>
  <c r="H1" i="6"/>
  <c r="K1" i="6"/>
  <c r="J1" i="6"/>
  <c r="B2" i="6"/>
  <c r="B4" i="6"/>
  <c r="B5" i="6"/>
  <c r="B6" i="6"/>
  <c r="B7" i="6"/>
  <c r="B8" i="6"/>
  <c r="B9" i="6"/>
  <c r="B10" i="6"/>
  <c r="B11" i="6"/>
  <c r="B12" i="6"/>
  <c r="B13" i="6"/>
  <c r="B3" i="6"/>
  <c r="E28" i="4"/>
  <c r="H28" i="4" s="1"/>
  <c r="E26" i="4"/>
  <c r="H26" i="4" s="1"/>
  <c r="B22" i="7" s="1"/>
  <c r="D39" i="2" s="1"/>
  <c r="E21" i="4"/>
  <c r="H21" i="4" s="1"/>
  <c r="B17" i="7" s="1"/>
  <c r="D28" i="2" s="1"/>
  <c r="E13" i="4"/>
  <c r="K13" i="4" s="1"/>
  <c r="E12" i="4"/>
  <c r="H12" i="4" s="1"/>
  <c r="K58" i="5"/>
  <c r="K80" i="5" s="1"/>
  <c r="H30" i="4"/>
  <c r="E17" i="10"/>
  <c r="E20" i="10"/>
  <c r="K14" i="4"/>
  <c r="L1" i="6"/>
  <c r="E27" i="4"/>
  <c r="H27" i="4" s="1"/>
  <c r="B23" i="7" s="1"/>
  <c r="D40" i="2" s="1"/>
  <c r="J81" i="5"/>
  <c r="F81" i="5"/>
  <c r="F80" i="5"/>
  <c r="J79" i="5"/>
  <c r="H79" i="5"/>
  <c r="F79" i="5"/>
  <c r="H78" i="5"/>
  <c r="F78" i="5"/>
  <c r="H77" i="5"/>
  <c r="F77" i="5"/>
  <c r="H76" i="5"/>
  <c r="F76" i="5"/>
  <c r="J75" i="5"/>
  <c r="H75" i="5"/>
  <c r="F75" i="5"/>
  <c r="H74" i="5"/>
  <c r="F74" i="5"/>
  <c r="C81" i="5"/>
  <c r="C77" i="5"/>
  <c r="G81" i="5"/>
  <c r="G80" i="5"/>
  <c r="G79" i="5"/>
  <c r="G78" i="5"/>
  <c r="G77" i="5"/>
  <c r="G76" i="5"/>
  <c r="G75" i="5"/>
  <c r="G74" i="5"/>
  <c r="D18" i="4"/>
  <c r="D17" i="4"/>
  <c r="D13" i="4"/>
  <c r="C3" i="10"/>
  <c r="C25" i="6"/>
  <c r="E25" i="6" s="1"/>
  <c r="D15" i="2" s="1"/>
  <c r="D58" i="2" s="1"/>
  <c r="C10" i="10"/>
  <c r="C25" i="10" s="1"/>
  <c r="C8" i="10"/>
  <c r="C6" i="10"/>
  <c r="I58" i="5"/>
  <c r="I78" i="5" s="1"/>
  <c r="E20" i="4"/>
  <c r="H20" i="4" s="1"/>
  <c r="B16" i="7" s="1"/>
  <c r="D27" i="2" s="1"/>
  <c r="E22" i="4"/>
  <c r="K22" i="4" s="1"/>
  <c r="C2" i="10"/>
  <c r="C80" i="5"/>
  <c r="S8" i="2"/>
  <c r="E23" i="4"/>
  <c r="N23" i="4" s="1"/>
  <c r="E25" i="4"/>
  <c r="K25" i="4"/>
  <c r="E24" i="4"/>
  <c r="H24" i="4" s="1"/>
  <c r="B20" i="7" s="1"/>
  <c r="D36" i="2" s="1"/>
  <c r="H13" i="4"/>
  <c r="B24" i="7" s="1"/>
  <c r="C78" i="5"/>
  <c r="N4" i="2"/>
  <c r="L4" i="2"/>
  <c r="F4" i="2"/>
  <c r="C76" i="5"/>
  <c r="X4" i="2"/>
  <c r="S12" i="2"/>
  <c r="C73" i="5"/>
  <c r="N18" i="4"/>
  <c r="N25" i="4"/>
  <c r="J4" i="2"/>
  <c r="R4" i="2"/>
  <c r="C79" i="5"/>
  <c r="E5" i="4"/>
  <c r="H5" i="4" s="1"/>
  <c r="H25" i="4"/>
  <c r="B21" i="7" s="1"/>
  <c r="D37" i="2" s="1"/>
  <c r="E10" i="4"/>
  <c r="K10" i="4" s="1"/>
  <c r="C75" i="5"/>
  <c r="B55" i="2"/>
  <c r="C70" i="2" s="1"/>
  <c r="C5" i="10"/>
  <c r="E6" i="4"/>
  <c r="K6" i="4" s="1"/>
  <c r="E8" i="4"/>
  <c r="H8" i="4" s="1"/>
  <c r="E4" i="4"/>
  <c r="H4" i="4" s="1"/>
  <c r="N27" i="4"/>
  <c r="K76" i="5"/>
  <c r="N22" i="4"/>
  <c r="H3" i="4"/>
  <c r="Y73" i="2" l="1"/>
  <c r="N26" i="4"/>
  <c r="I75" i="5"/>
  <c r="K77" i="5"/>
  <c r="H29" i="4"/>
  <c r="B25" i="7" s="1"/>
  <c r="D25" i="2" s="1"/>
  <c r="E74" i="5"/>
  <c r="E76" i="5"/>
  <c r="E78" i="5"/>
  <c r="E80" i="5"/>
  <c r="J74" i="5"/>
  <c r="J78" i="5"/>
  <c r="D73" i="2"/>
  <c r="U73" i="2"/>
  <c r="C9" i="10"/>
  <c r="K75" i="5"/>
  <c r="K23" i="4"/>
  <c r="J77" i="5"/>
  <c r="J80" i="5"/>
  <c r="C31" i="6"/>
  <c r="G73" i="2"/>
  <c r="K81" i="5"/>
  <c r="K79" i="5"/>
  <c r="H23" i="4"/>
  <c r="B19" i="7" s="1"/>
  <c r="D35" i="2" s="1"/>
  <c r="E75" i="5"/>
  <c r="E77" i="5"/>
  <c r="E79" i="5"/>
  <c r="E81" i="5"/>
  <c r="J76" i="5"/>
  <c r="M4" i="2"/>
  <c r="O4" i="2"/>
  <c r="N17" i="4"/>
  <c r="O17" i="4" s="1"/>
  <c r="K17" i="4"/>
  <c r="H17" i="4"/>
  <c r="C30" i="6" s="1"/>
  <c r="B52" i="2"/>
  <c r="C67" i="2" s="1"/>
  <c r="K73" i="5"/>
  <c r="N10" i="6"/>
  <c r="S7" i="2"/>
  <c r="W53" i="2" s="1"/>
  <c r="W68" i="2" s="1"/>
  <c r="C11" i="10"/>
  <c r="K24" i="4"/>
  <c r="K4" i="4"/>
  <c r="K5" i="4"/>
  <c r="L50" i="2" s="1"/>
  <c r="C73" i="2"/>
  <c r="D81" i="5"/>
  <c r="K74" i="5"/>
  <c r="K28" i="4"/>
  <c r="C34" i="11" s="1"/>
  <c r="E34" i="11" s="1"/>
  <c r="N13" i="11" s="1"/>
  <c r="S6" i="2"/>
  <c r="C12" i="10"/>
  <c r="N20" i="4"/>
  <c r="H6" i="4"/>
  <c r="M51" i="2" s="1"/>
  <c r="M66" i="2" s="1"/>
  <c r="H10" i="4"/>
  <c r="N5" i="4"/>
  <c r="I79" i="5"/>
  <c r="D80" i="5"/>
  <c r="I76" i="5"/>
  <c r="H11" i="4"/>
  <c r="S21" i="2"/>
  <c r="K78" i="5"/>
  <c r="C13" i="10"/>
  <c r="B12" i="7"/>
  <c r="D74" i="5"/>
  <c r="D75" i="5"/>
  <c r="D76" i="5"/>
  <c r="D77" i="5"/>
  <c r="D78" i="5"/>
  <c r="D79" i="5"/>
  <c r="H81" i="5"/>
  <c r="N24" i="4"/>
  <c r="K27" i="4"/>
  <c r="I81" i="5"/>
  <c r="H80" i="5"/>
  <c r="W73" i="2"/>
  <c r="S73" i="2"/>
  <c r="K20" i="4"/>
  <c r="N6" i="4"/>
  <c r="K73" i="2"/>
  <c r="H12" i="12"/>
  <c r="G12" i="12"/>
  <c r="K4" i="2"/>
  <c r="H19" i="4"/>
  <c r="K19" i="4"/>
  <c r="C26" i="11"/>
  <c r="E26" i="11" s="1"/>
  <c r="S60" i="2"/>
  <c r="S75" i="2" s="1"/>
  <c r="G60" i="2"/>
  <c r="G75" i="2" s="1"/>
  <c r="I60" i="2"/>
  <c r="I75" i="2" s="1"/>
  <c r="J60" i="2"/>
  <c r="K60" i="2"/>
  <c r="K75" i="2" s="1"/>
  <c r="M60" i="2"/>
  <c r="M75" i="2" s="1"/>
  <c r="R60" i="2"/>
  <c r="N60" i="2"/>
  <c r="L60" i="2"/>
  <c r="V60" i="2"/>
  <c r="T60" i="2"/>
  <c r="X60" i="2"/>
  <c r="W60" i="2"/>
  <c r="W75" i="2" s="1"/>
  <c r="Y60" i="2"/>
  <c r="Y75" i="2" s="1"/>
  <c r="H60" i="2"/>
  <c r="F60" i="2"/>
  <c r="C26" i="10"/>
  <c r="O60" i="2"/>
  <c r="O75" i="2" s="1"/>
  <c r="Q60" i="2"/>
  <c r="Q75" i="2" s="1"/>
  <c r="C26" i="6"/>
  <c r="U60" i="2"/>
  <c r="U75" i="2" s="1"/>
  <c r="P60" i="2"/>
  <c r="O5" i="4"/>
  <c r="K8" i="4"/>
  <c r="V52" i="2" s="1"/>
  <c r="I54" i="2"/>
  <c r="I69" i="2" s="1"/>
  <c r="H22" i="4"/>
  <c r="B18" i="7" s="1"/>
  <c r="D34" i="2" s="1"/>
  <c r="I73" i="5"/>
  <c r="G4" i="2"/>
  <c r="C17" i="6"/>
  <c r="K4" i="6" s="1"/>
  <c r="I74" i="5"/>
  <c r="I80" i="5"/>
  <c r="I77" i="5"/>
  <c r="Q73" i="2"/>
  <c r="N10" i="10"/>
  <c r="E25" i="10"/>
  <c r="E15" i="2" s="1"/>
  <c r="F11" i="11"/>
  <c r="E31" i="11"/>
  <c r="N11" i="11"/>
  <c r="S61" i="2"/>
  <c r="S76" i="2" s="1"/>
  <c r="K61" i="2"/>
  <c r="K76" i="2" s="1"/>
  <c r="W61" i="2"/>
  <c r="W76" i="2" s="1"/>
  <c r="Q61" i="2"/>
  <c r="Q76" i="2" s="1"/>
  <c r="U61" i="2"/>
  <c r="U76" i="2" s="1"/>
  <c r="Y61" i="2"/>
  <c r="Y76" i="2" s="1"/>
  <c r="I61" i="2"/>
  <c r="I76" i="2" s="1"/>
  <c r="O61" i="2"/>
  <c r="O76" i="2" s="1"/>
  <c r="G61" i="2"/>
  <c r="G76" i="2" s="1"/>
  <c r="E61" i="2"/>
  <c r="E76" i="2" s="1"/>
  <c r="M61" i="2"/>
  <c r="M76" i="2" s="1"/>
  <c r="H9" i="4"/>
  <c r="K9" i="4"/>
  <c r="N12" i="11"/>
  <c r="Y50" i="2"/>
  <c r="Y65" i="2" s="1"/>
  <c r="I50" i="2"/>
  <c r="I65" i="2" s="1"/>
  <c r="W50" i="2"/>
  <c r="W65" i="2" s="1"/>
  <c r="Q50" i="2"/>
  <c r="Q65" i="2" s="1"/>
  <c r="U50" i="2"/>
  <c r="U65" i="2" s="1"/>
  <c r="I53" i="2"/>
  <c r="I68" i="2" s="1"/>
  <c r="H53" i="2"/>
  <c r="R53" i="2"/>
  <c r="X53" i="2"/>
  <c r="M53" i="2"/>
  <c r="M68" i="2" s="1"/>
  <c r="O53" i="2"/>
  <c r="O68" i="2" s="1"/>
  <c r="Q53" i="2"/>
  <c r="Q68" i="2" s="1"/>
  <c r="K53" i="2"/>
  <c r="K68" i="2" s="1"/>
  <c r="J53" i="2"/>
  <c r="T53" i="2"/>
  <c r="K5" i="6"/>
  <c r="P53" i="2"/>
  <c r="F53" i="2"/>
  <c r="N53" i="2"/>
  <c r="L53" i="2"/>
  <c r="V53" i="2"/>
  <c r="G53" i="2"/>
  <c r="G68" i="2" s="1"/>
  <c r="K16" i="4"/>
  <c r="H16" i="4"/>
  <c r="O51" i="2" s="1"/>
  <c r="O66" i="2" s="1"/>
  <c r="C24" i="10"/>
  <c r="M57" i="2"/>
  <c r="M72" i="2" s="1"/>
  <c r="K57" i="2"/>
  <c r="K72" i="2" s="1"/>
  <c r="P57" i="2"/>
  <c r="I57" i="2"/>
  <c r="I72" i="2" s="1"/>
  <c r="G57" i="2"/>
  <c r="G72" i="2" s="1"/>
  <c r="N57" i="2"/>
  <c r="T57" i="2"/>
  <c r="V57" i="2"/>
  <c r="L57" i="2"/>
  <c r="W57" i="2"/>
  <c r="W72" i="2" s="1"/>
  <c r="J57" i="2"/>
  <c r="C24" i="6"/>
  <c r="F57" i="2"/>
  <c r="Y57" i="2"/>
  <c r="Y72" i="2" s="1"/>
  <c r="X57" i="2"/>
  <c r="C24" i="11"/>
  <c r="U57" i="2"/>
  <c r="U72" i="2" s="1"/>
  <c r="S57" i="2"/>
  <c r="S72" i="2" s="1"/>
  <c r="R57" i="2"/>
  <c r="Q57" i="2"/>
  <c r="Q72" i="2" s="1"/>
  <c r="O57" i="2"/>
  <c r="O72" i="2" s="1"/>
  <c r="H57" i="2"/>
  <c r="T51" i="2"/>
  <c r="C18" i="10"/>
  <c r="U51" i="2"/>
  <c r="U66" i="2" s="1"/>
  <c r="N4" i="4"/>
  <c r="F11" i="6"/>
  <c r="C17" i="11"/>
  <c r="O73" i="2"/>
  <c r="B26" i="7"/>
  <c r="D43" i="2" s="1"/>
  <c r="D61" i="2" s="1"/>
  <c r="D76" i="2" s="1"/>
  <c r="H7" i="4"/>
  <c r="M73" i="2"/>
  <c r="I73" i="2"/>
  <c r="G51" i="2" l="1"/>
  <c r="G66" i="2" s="1"/>
  <c r="P51" i="2"/>
  <c r="Y53" i="2"/>
  <c r="Y68" i="2" s="1"/>
  <c r="S53" i="2"/>
  <c r="S68" i="2" s="1"/>
  <c r="U53" i="2"/>
  <c r="U68" i="2" s="1"/>
  <c r="X50" i="2"/>
  <c r="F50" i="2"/>
  <c r="V50" i="2"/>
  <c r="N50" i="2"/>
  <c r="S50" i="2"/>
  <c r="S65" i="2" s="1"/>
  <c r="S4" i="2"/>
  <c r="U52" i="2"/>
  <c r="U67" i="2" s="1"/>
  <c r="S52" i="2"/>
  <c r="S67" i="2" s="1"/>
  <c r="N54" i="2"/>
  <c r="E17" i="6"/>
  <c r="N4" i="6" s="1"/>
  <c r="J50" i="2"/>
  <c r="K50" i="2"/>
  <c r="K65" i="2" s="1"/>
  <c r="R50" i="2"/>
  <c r="H50" i="2"/>
  <c r="G50" i="2"/>
  <c r="G65" i="2" s="1"/>
  <c r="K52" i="2"/>
  <c r="K67" i="2" s="1"/>
  <c r="H54" i="2"/>
  <c r="O54" i="2"/>
  <c r="O69" i="2" s="1"/>
  <c r="C34" i="10"/>
  <c r="E34" i="10" s="1"/>
  <c r="N13" i="10" s="1"/>
  <c r="P54" i="2"/>
  <c r="K54" i="2"/>
  <c r="K69" i="2" s="1"/>
  <c r="E31" i="6"/>
  <c r="N11" i="6"/>
  <c r="C34" i="6"/>
  <c r="E34" i="6" s="1"/>
  <c r="N13" i="6" s="1"/>
  <c r="T50" i="2"/>
  <c r="P50" i="2"/>
  <c r="M50" i="2"/>
  <c r="M65" i="2" s="1"/>
  <c r="O50" i="2"/>
  <c r="O65" i="2" s="1"/>
  <c r="Y54" i="2"/>
  <c r="Y69" i="2" s="1"/>
  <c r="T54" i="2"/>
  <c r="X54" i="2"/>
  <c r="C31" i="10"/>
  <c r="C30" i="11"/>
  <c r="L54" i="2"/>
  <c r="S54" i="2"/>
  <c r="S69" i="2" s="1"/>
  <c r="C30" i="10"/>
  <c r="V54" i="2"/>
  <c r="R54" i="2"/>
  <c r="Q54" i="2"/>
  <c r="Q69" i="2" s="1"/>
  <c r="G54" i="2"/>
  <c r="G69" i="2" s="1"/>
  <c r="F54" i="2"/>
  <c r="M54" i="2"/>
  <c r="M69" i="2" s="1"/>
  <c r="W54" i="2"/>
  <c r="W69" i="2" s="1"/>
  <c r="U54" i="2"/>
  <c r="U69" i="2" s="1"/>
  <c r="J54" i="2"/>
  <c r="O52" i="2"/>
  <c r="O67" i="2" s="1"/>
  <c r="T8" i="2"/>
  <c r="R3" i="4"/>
  <c r="V8" i="2" s="1"/>
  <c r="J51" i="2"/>
  <c r="N51" i="2"/>
  <c r="T52" i="2"/>
  <c r="W51" i="2"/>
  <c r="W66" i="2" s="1"/>
  <c r="R51" i="2"/>
  <c r="R5" i="4"/>
  <c r="O6" i="4"/>
  <c r="J52" i="2"/>
  <c r="F3" i="6"/>
  <c r="E30" i="6"/>
  <c r="E3" i="6"/>
  <c r="E6" i="6"/>
  <c r="G52" i="2"/>
  <c r="G67" i="2" s="1"/>
  <c r="E26" i="6"/>
  <c r="D16" i="2" s="1"/>
  <c r="D60" i="2" s="1"/>
  <c r="D75" i="2" s="1"/>
  <c r="N12" i="6"/>
  <c r="M52" i="2"/>
  <c r="M67" i="2" s="1"/>
  <c r="N12" i="10"/>
  <c r="E26" i="10"/>
  <c r="E16" i="2" s="1"/>
  <c r="E60" i="2" s="1"/>
  <c r="E75" i="2" s="1"/>
  <c r="X59" i="2"/>
  <c r="W59" i="2"/>
  <c r="W74" i="2" s="1"/>
  <c r="K59" i="2"/>
  <c r="K74" i="2" s="1"/>
  <c r="L59" i="2"/>
  <c r="R59" i="2"/>
  <c r="P59" i="2"/>
  <c r="U59" i="2"/>
  <c r="U74" i="2" s="1"/>
  <c r="S59" i="2"/>
  <c r="S74" i="2" s="1"/>
  <c r="N59" i="2"/>
  <c r="G59" i="2"/>
  <c r="G74" i="2" s="1"/>
  <c r="T59" i="2"/>
  <c r="V59" i="2"/>
  <c r="I59" i="2"/>
  <c r="I74" i="2" s="1"/>
  <c r="J59" i="2"/>
  <c r="H59" i="2"/>
  <c r="Q59" i="2"/>
  <c r="Q74" i="2" s="1"/>
  <c r="O59" i="2"/>
  <c r="O74" i="2" s="1"/>
  <c r="F59" i="2"/>
  <c r="Y59" i="2"/>
  <c r="Y74" i="2" s="1"/>
  <c r="M59" i="2"/>
  <c r="M74" i="2" s="1"/>
  <c r="W52" i="2"/>
  <c r="W67" i="2" s="1"/>
  <c r="Y52" i="2"/>
  <c r="Y67" i="2" s="1"/>
  <c r="H52" i="2"/>
  <c r="F52" i="2"/>
  <c r="P52" i="2"/>
  <c r="N52" i="2"/>
  <c r="R52" i="2"/>
  <c r="L52" i="2"/>
  <c r="X52" i="2"/>
  <c r="C18" i="6"/>
  <c r="L5" i="6" s="1"/>
  <c r="R1" i="4"/>
  <c r="U7" i="2"/>
  <c r="O4" i="4"/>
  <c r="Y7" i="2"/>
  <c r="Y4" i="2" s="1"/>
  <c r="W7" i="2"/>
  <c r="E17" i="11"/>
  <c r="N4" i="11" s="1"/>
  <c r="K5" i="11"/>
  <c r="K4" i="11"/>
  <c r="K51" i="2"/>
  <c r="K66" i="2" s="1"/>
  <c r="V51" i="2"/>
  <c r="Y51" i="2"/>
  <c r="Y66" i="2" s="1"/>
  <c r="L51" i="2"/>
  <c r="S51" i="2"/>
  <c r="S66" i="2" s="1"/>
  <c r="F51" i="2"/>
  <c r="X51" i="2"/>
  <c r="H51" i="2"/>
  <c r="N5" i="10"/>
  <c r="Q55" i="2"/>
  <c r="Q70" i="2" s="1"/>
  <c r="R55" i="2"/>
  <c r="F55" i="2"/>
  <c r="I55" i="2"/>
  <c r="I70" i="2" s="1"/>
  <c r="N55" i="2"/>
  <c r="O55" i="2"/>
  <c r="O70" i="2" s="1"/>
  <c r="S55" i="2"/>
  <c r="S70" i="2" s="1"/>
  <c r="P55" i="2"/>
  <c r="V55" i="2"/>
  <c r="X55" i="2"/>
  <c r="K55" i="2"/>
  <c r="K70" i="2" s="1"/>
  <c r="J55" i="2"/>
  <c r="W55" i="2"/>
  <c r="W70" i="2" s="1"/>
  <c r="M55" i="2"/>
  <c r="M70" i="2" s="1"/>
  <c r="G55" i="2"/>
  <c r="G70" i="2" s="1"/>
  <c r="U55" i="2"/>
  <c r="U70" i="2" s="1"/>
  <c r="T55" i="2"/>
  <c r="L55" i="2"/>
  <c r="Y55" i="2"/>
  <c r="Y70" i="2" s="1"/>
  <c r="H55" i="2"/>
  <c r="E18" i="10"/>
  <c r="E8" i="2" s="1"/>
  <c r="K5" i="10"/>
  <c r="G9" i="11"/>
  <c r="G7" i="11"/>
  <c r="E24" i="11"/>
  <c r="N9" i="11"/>
  <c r="G7" i="6"/>
  <c r="E24" i="6"/>
  <c r="D14" i="2" s="1"/>
  <c r="D57" i="2" s="1"/>
  <c r="D72" i="2" s="1"/>
  <c r="N9" i="6"/>
  <c r="G9" i="6"/>
  <c r="E24" i="10"/>
  <c r="E14" i="2" s="1"/>
  <c r="E57" i="2" s="1"/>
  <c r="E72" i="2" s="1"/>
  <c r="G9" i="10"/>
  <c r="N9" i="10"/>
  <c r="G7" i="10"/>
  <c r="O56" i="2"/>
  <c r="O71" i="2" s="1"/>
  <c r="V56" i="2"/>
  <c r="Y56" i="2"/>
  <c r="Y71" i="2" s="1"/>
  <c r="J56" i="2"/>
  <c r="G56" i="2"/>
  <c r="G71" i="2" s="1"/>
  <c r="F56" i="2"/>
  <c r="M56" i="2"/>
  <c r="M71" i="2" s="1"/>
  <c r="I56" i="2"/>
  <c r="I71" i="2" s="1"/>
  <c r="S56" i="2"/>
  <c r="S71" i="2" s="1"/>
  <c r="R56" i="2"/>
  <c r="X56" i="2"/>
  <c r="Q56" i="2"/>
  <c r="Q71" i="2" s="1"/>
  <c r="K56" i="2"/>
  <c r="K71" i="2" s="1"/>
  <c r="C22" i="11"/>
  <c r="C22" i="6"/>
  <c r="C22" i="10"/>
  <c r="T56" i="2"/>
  <c r="H56" i="2"/>
  <c r="W56" i="2"/>
  <c r="W71" i="2" s="1"/>
  <c r="L56" i="2"/>
  <c r="N56" i="2"/>
  <c r="P56" i="2"/>
  <c r="D7" i="2"/>
  <c r="A15" i="2"/>
  <c r="E58" i="2"/>
  <c r="E73" i="2" s="1"/>
  <c r="U56" i="2"/>
  <c r="U71" i="2" s="1"/>
  <c r="D22" i="2" l="1"/>
  <c r="E22" i="2"/>
  <c r="E59" i="2" s="1"/>
  <c r="E74" i="2" s="1"/>
  <c r="E3" i="11"/>
  <c r="E6" i="11"/>
  <c r="F3" i="11"/>
  <c r="E30" i="11"/>
  <c r="N6" i="11" s="1"/>
  <c r="W8" i="2"/>
  <c r="W4" i="2" s="1"/>
  <c r="V4" i="2"/>
  <c r="E30" i="10"/>
  <c r="N6" i="10" s="1"/>
  <c r="E3" i="10"/>
  <c r="F3" i="10" s="1"/>
  <c r="K3" i="10" s="1"/>
  <c r="C16" i="10" s="1"/>
  <c r="E16" i="10" s="1"/>
  <c r="E6" i="10"/>
  <c r="T4" i="2"/>
  <c r="U8" i="2"/>
  <c r="U4" i="2" s="1"/>
  <c r="N11" i="10"/>
  <c r="E31" i="10"/>
  <c r="F11" i="10"/>
  <c r="H9" i="2"/>
  <c r="P9" i="2"/>
  <c r="E21" i="2"/>
  <c r="E54" i="2" s="1"/>
  <c r="E69" i="2" s="1"/>
  <c r="D21" i="2"/>
  <c r="D54" i="2" s="1"/>
  <c r="D69" i="2" s="1"/>
  <c r="N6" i="6"/>
  <c r="I8" i="11"/>
  <c r="E22" i="11"/>
  <c r="N8" i="11" s="1"/>
  <c r="I2" i="11"/>
  <c r="C21" i="10"/>
  <c r="N3" i="10"/>
  <c r="E6" i="2"/>
  <c r="D52" i="2"/>
  <c r="D67" i="2" s="1"/>
  <c r="Z7" i="2"/>
  <c r="E22" i="6"/>
  <c r="I8" i="6"/>
  <c r="I2" i="6"/>
  <c r="C20" i="6"/>
  <c r="L3" i="10"/>
  <c r="I8" i="10"/>
  <c r="I2" i="10"/>
  <c r="E22" i="10"/>
  <c r="C20" i="11"/>
  <c r="H7" i="11" s="1"/>
  <c r="C18" i="11"/>
  <c r="A8" i="2"/>
  <c r="E53" i="2"/>
  <c r="E68" i="2" s="1"/>
  <c r="E18" i="6"/>
  <c r="D8" i="2" s="1"/>
  <c r="D53" i="2" s="1"/>
  <c r="D68" i="2" s="1"/>
  <c r="N5" i="6"/>
  <c r="P18" i="4" l="1"/>
  <c r="D23" i="2" s="1"/>
  <c r="D59" i="2" s="1"/>
  <c r="D74" i="2" s="1"/>
  <c r="I9" i="2"/>
  <c r="H4" i="2"/>
  <c r="P4" i="2"/>
  <c r="Q9" i="2"/>
  <c r="E21" i="10"/>
  <c r="H4" i="10"/>
  <c r="E20" i="11"/>
  <c r="N7" i="11" s="1"/>
  <c r="H3" i="11"/>
  <c r="C16" i="6"/>
  <c r="J2" i="6" s="1"/>
  <c r="Z8" i="2"/>
  <c r="E20" i="6"/>
  <c r="H3" i="6"/>
  <c r="C16" i="11"/>
  <c r="E18" i="11"/>
  <c r="N5" i="11"/>
  <c r="E12" i="2"/>
  <c r="N8" i="10"/>
  <c r="N8" i="6"/>
  <c r="D12" i="2"/>
  <c r="D56" i="2" s="1"/>
  <c r="D71" i="2" s="1"/>
  <c r="E50" i="2"/>
  <c r="E65" i="2" s="1"/>
  <c r="A6" i="2"/>
  <c r="L5" i="11"/>
  <c r="H7" i="6"/>
  <c r="H7" i="10"/>
  <c r="I52" i="2" l="1"/>
  <c r="I67" i="2" s="1"/>
  <c r="I51" i="2"/>
  <c r="I66" i="2" s="1"/>
  <c r="I4" i="2"/>
  <c r="Q52" i="2"/>
  <c r="Q67" i="2" s="1"/>
  <c r="Q51" i="2"/>
  <c r="Q66" i="2" s="1"/>
  <c r="Q4" i="2"/>
  <c r="C19" i="10"/>
  <c r="J4" i="10" s="1"/>
  <c r="E11" i="2"/>
  <c r="N7" i="10"/>
  <c r="D10" i="2"/>
  <c r="N7" i="6"/>
  <c r="E16" i="6"/>
  <c r="J3" i="6"/>
  <c r="L3" i="6" s="1"/>
  <c r="E16" i="11"/>
  <c r="J3" i="11"/>
  <c r="L3" i="11" s="1"/>
  <c r="A12" i="2"/>
  <c r="Z12" i="2"/>
  <c r="E56" i="2"/>
  <c r="E71" i="2" s="1"/>
  <c r="J2" i="11"/>
  <c r="N3" i="11" l="1"/>
  <c r="N2" i="11"/>
  <c r="D55" i="2"/>
  <c r="D70" i="2" s="1"/>
  <c r="Z10" i="2"/>
  <c r="E19" i="10"/>
  <c r="J2" i="10"/>
  <c r="L2" i="10" s="1"/>
  <c r="N2" i="6"/>
  <c r="N3" i="6"/>
  <c r="D6" i="2"/>
  <c r="AK7" i="2" s="1"/>
  <c r="A11" i="2"/>
  <c r="E55" i="2"/>
  <c r="E70" i="2" s="1"/>
  <c r="E9" i="2" l="1"/>
  <c r="N4" i="10"/>
  <c r="N2" i="10"/>
  <c r="D51" i="2"/>
  <c r="D66" i="2" s="1"/>
  <c r="Z6" i="2"/>
  <c r="D4" i="2"/>
  <c r="D50" i="2"/>
  <c r="D65" i="2" s="1"/>
  <c r="E52" i="2" l="1"/>
  <c r="E67" i="2" s="1"/>
  <c r="A9" i="2"/>
  <c r="E4" i="2"/>
  <c r="E51" i="2"/>
  <c r="E66" i="2" s="1"/>
</calcChain>
</file>

<file path=xl/comments1.xml><?xml version="1.0" encoding="utf-8"?>
<comments xmlns="http://schemas.openxmlformats.org/spreadsheetml/2006/main">
  <authors>
    <author>vvv</author>
    <author>Vahe Ganapetyan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Ввести количество морской воды, которое надо получить</t>
        </r>
      </text>
    </comment>
    <comment ref="U4" authorId="1">
      <text>
        <r>
          <rPr>
            <b/>
            <sz val="8"/>
            <color indexed="81"/>
            <rFont val="Tahoma"/>
          </rPr>
          <t>Vahe Ganapetyan:</t>
        </r>
        <r>
          <rPr>
            <sz val="8"/>
            <color indexed="81"/>
            <rFont val="Tahoma"/>
          </rPr>
          <t xml:space="preserve">
http://www.escholarship.org/editions/view?docId=kt167nb66r&amp;chunk.id=d3_5_ch06&amp;toc.depth=1&amp;toc.id=ch06&amp;brand=eschol
</t>
        </r>
      </text>
    </comment>
    <comment ref="E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Мне попадались MgSO4 содержащие большое количество аммония, поэтому была создана эта модификация рецепта на основе Na2SO4, не содержащего сульфат магния
</t>
        </r>
      </text>
    </comment>
    <comment ref="P5" authorId="0">
      <text>
        <r>
          <rPr>
            <b/>
            <sz val="8"/>
            <color indexed="81"/>
            <rFont val="Tahoma"/>
            <charset val="1"/>
          </rPr>
          <t>vvv:</t>
        </r>
        <r>
          <rPr>
            <sz val="8"/>
            <color indexed="81"/>
            <rFont val="Tahoma"/>
            <charset val="1"/>
          </rPr>
          <t xml:space="preserve">
i</t>
        </r>
      </text>
    </comment>
    <comment ref="R5" authorId="0">
      <text>
        <r>
          <rPr>
            <b/>
            <sz val="8"/>
            <color indexed="81"/>
            <rFont val="Tahoma"/>
            <charset val="1"/>
          </rPr>
          <t>vvv:</t>
        </r>
        <r>
          <rPr>
            <sz val="8"/>
            <color indexed="81"/>
            <rFont val="Tahoma"/>
            <charset val="1"/>
          </rPr>
          <t xml:space="preserve">
i</t>
        </r>
      </text>
    </comment>
    <comment ref="S5" authorId="1">
      <text>
        <r>
          <rPr>
            <b/>
            <sz val="8"/>
            <color indexed="81"/>
            <rFont val="Tahoma"/>
          </rPr>
          <t>Vahe Ganapetyan:</t>
        </r>
        <r>
          <rPr>
            <sz val="8"/>
            <color indexed="81"/>
            <rFont val="Tahoma"/>
          </rPr>
          <t xml:space="preserve">
Спотт. Содержание рыбы в замкнутых системах, 1993
Стр. 114</t>
        </r>
      </text>
    </comment>
    <comment ref="U5" authorId="1">
      <text>
        <r>
          <rPr>
            <sz val="8"/>
            <color indexed="81"/>
            <rFont val="Tahoma"/>
          </rPr>
          <t xml:space="preserve">McClendon et al (1917)
</t>
        </r>
      </text>
    </comment>
    <comment ref="W5" authorId="1">
      <text>
        <r>
          <rPr>
            <sz val="8"/>
            <color indexed="81"/>
            <rFont val="Tahoma"/>
          </rPr>
          <t>Brujewicz (Subow, 1931)</t>
        </r>
      </text>
    </comment>
    <comment ref="Y5" authorId="1">
      <text>
        <r>
          <rPr>
            <sz val="8"/>
            <color indexed="81"/>
            <rFont val="Tahoma"/>
          </rPr>
          <t>Lyman and Fleming (1940)</t>
        </r>
      </text>
    </comment>
    <comment ref="AF5" authorId="1">
      <text>
        <r>
          <rPr>
            <sz val="8"/>
            <color indexed="81"/>
            <rFont val="Tahoma"/>
            <family val="2"/>
            <charset val="204"/>
          </rPr>
          <t xml:space="preserve">
Замешивается 2 раствора - A и B. Указанное количество компонентов растворяется в 1л воды для каждого из растворов. 
</t>
        </r>
        <r>
          <rPr>
            <b/>
            <sz val="8"/>
            <color indexed="81"/>
            <rFont val="Tahoma"/>
            <family val="2"/>
            <charset val="204"/>
          </rPr>
          <t>РАСТВОРЫ СМЕШИВАТЬ НЕЛЬЗЯ!</t>
        </r>
        <r>
          <rPr>
            <sz val="8"/>
            <color indexed="81"/>
            <rFont val="Tahoma"/>
            <family val="2"/>
            <charset val="204"/>
          </rPr>
          <t xml:space="preserve">
Для получения 20л морской воды берется 18л. Осмотической воды, добавляется 1л. раствора A, хорошо перемешивается, затем, непрерывно перемешивая, добавляется 1л раствора B.
В конце к готовой смеси должно быть добавлено соответствующее количество концентрата микроэлементов.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Раствор хлоридов кальция и стронция готовить и хранить отдельно от остальных солей, в частности, от солей, содержащих сульфаты.
Вливать в аквариум на течение.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Микроэлементы можно взять в граммах вместо милиграммов, растворить в литре осмотической воды, добавив несколько грамм ТрилонаБ и один миллилитр серной кислоты для лучшей сохранности, и залить в темную бутылку. 
Дозировать из расчета 1мл на 100 литров.</t>
        </r>
      </text>
    </comment>
  </commentList>
</comments>
</file>

<file path=xl/comments2.xml><?xml version="1.0" encoding="utf-8"?>
<comments xmlns="http://schemas.openxmlformats.org/spreadsheetml/2006/main">
  <authors>
    <author>vvv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04"/>
          </rPr>
          <t>Усредненные значения содержания различных ионов в натуральной морской воде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vvv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04"/>
          </rPr>
          <t>Усредненные значения содержания различных ионов в натуральной морской воде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vvv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04"/>
          </rPr>
          <t>Усредненные значения содержания различных ионов в натуральной морской воде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Карачи АЮ</author>
  </authors>
  <commentList>
    <comment ref="C3" authorId="0">
      <text>
        <r>
          <rPr>
            <sz val="8"/>
            <color indexed="81"/>
            <rFont val="Tahoma"/>
            <family val="2"/>
          </rPr>
          <t xml:space="preserve">Водород.
Порядковый номер: 1 ;
Атомная масса : 1,00797 ;
Электронная конфигурация: 1s ;
Число изотопов: 3 ;
Распростронёность в природе: 1,00 %. 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X3" authorId="0">
      <text>
        <r>
          <rPr>
            <sz val="9"/>
            <color indexed="81"/>
            <rFont val="Tahoma"/>
            <family val="2"/>
          </rPr>
          <t xml:space="preserve">Гелий.
Порядковый номер: 2 ;
Атомная масса : 4,0026 ;
Электронная конфигурация: 1s2 ;
Число изотопов: 2 ;
Распростронёность в природе: 1*10-6 %. 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Литий.
Порядковый номер: 3 ;
Атомная масса : 6,939 ;
Электронная конфигурация: 2s ;
Число изотопов: 2 ;
Распростронёность в природе: 1*10-6 %. 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5" authorId="0">
      <text>
        <r>
          <rPr>
            <sz val="9"/>
            <color indexed="81"/>
            <rFont val="Tahoma"/>
            <family val="2"/>
          </rPr>
          <t>Берилий
Порядковый номер: 4 ;
Атомная масса : 9,0122 ;
Электронная конфигурация: 2s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;
Распростронёность в природе: 4*10-4 %. </t>
        </r>
      </text>
    </comment>
    <comment ref="I5" authorId="0">
      <text>
        <r>
          <rPr>
            <sz val="8"/>
            <color indexed="81"/>
            <rFont val="Tahoma"/>
            <charset val="204"/>
          </rPr>
          <t>Порядковый номер: 5 ;
Атомная масса : 10,811 ;
Электронная конфигурация: 2s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>p</t>
        </r>
        <r>
          <rPr>
            <sz val="8"/>
            <color indexed="81"/>
            <rFont val="Tahoma"/>
            <charset val="204"/>
          </rPr>
          <t xml:space="preserve"> ;
Распростронёность в природе: 1,00 %. </t>
        </r>
      </text>
    </comment>
    <comment ref="L5" authorId="0">
      <text>
        <r>
          <rPr>
            <sz val="8"/>
            <color indexed="81"/>
            <rFont val="Tahoma"/>
            <charset val="204"/>
          </rPr>
          <t>Порядковый номер: 6 ;
Атомная масса : 12,01115 ;
Электронная конфигурация: 2s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>2p</t>
        </r>
        <r>
          <rPr>
            <vertAlign val="superscript"/>
            <sz val="8"/>
            <color indexed="81"/>
            <rFont val="Tahoma"/>
            <family val="2"/>
          </rPr>
          <t xml:space="preserve">2 </t>
        </r>
        <r>
          <rPr>
            <sz val="8"/>
            <color indexed="81"/>
            <rFont val="Tahoma"/>
            <charset val="204"/>
          </rPr>
          <t xml:space="preserve">;
Число изотопов: 2 ;
Распростронёность в природе: 0,35 %. </t>
        </r>
      </text>
    </comment>
    <comment ref="O5" authorId="0">
      <text>
        <r>
          <rPr>
            <sz val="8"/>
            <color indexed="81"/>
            <rFont val="Tahoma"/>
            <charset val="204"/>
          </rPr>
          <t>Порядковый номер: 7 ;
Атомная масса : 14,0067 ;
Электронная конфигурация: 2s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>2p</t>
        </r>
        <r>
          <rPr>
            <vertAlign val="superscript"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charset val="204"/>
          </rPr>
          <t xml:space="preserve"> ;
Число изотопов: 3 ;
Распростронёность в природе: 1,00 %. </t>
        </r>
      </text>
    </comment>
    <comment ref="R5" authorId="0">
      <text>
        <r>
          <rPr>
            <sz val="8"/>
            <color indexed="81"/>
            <rFont val="Tahoma"/>
            <charset val="204"/>
          </rPr>
          <t>Порядковый номер: 8 ;
Атомная масса : 15,9994 ;
Электронная конфигурация: 2s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>2p</t>
        </r>
        <r>
          <rPr>
            <vertAlign val="superscript"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charset val="204"/>
          </rPr>
          <t xml:space="preserve"> ;
Число изотопов: 3 ;
Распростронёность в природе: 49,13 %. 
</t>
        </r>
      </text>
    </comment>
    <comment ref="U5" authorId="0">
      <text>
        <r>
          <rPr>
            <sz val="8"/>
            <color indexed="81"/>
            <rFont val="Tahoma"/>
            <charset val="204"/>
          </rPr>
          <t>Порядковый номер: 9 ;
Атомная масса : 18,9984 ;
Электронная конфигурация: 2s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>2p</t>
        </r>
        <r>
          <rPr>
            <vertAlign val="superscript"/>
            <sz val="8"/>
            <color indexed="81"/>
            <rFont val="Tahoma"/>
            <family val="2"/>
          </rPr>
          <t>5</t>
        </r>
        <r>
          <rPr>
            <sz val="8"/>
            <color indexed="81"/>
            <rFont val="Tahoma"/>
            <charset val="204"/>
          </rPr>
          <t xml:space="preserve"> ;
Число изотопов: 3 ;
Распростронёность в природе: 0,08 %. </t>
        </r>
      </text>
    </comment>
    <comment ref="X5" authorId="0">
      <text>
        <r>
          <rPr>
            <sz val="8"/>
            <color indexed="81"/>
            <rFont val="Tahoma"/>
            <charset val="204"/>
          </rPr>
          <t>Порядковый номер: 10 ;
Атомная масса : 20,179 ;
Электронная конфигурация: 2s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>2p</t>
        </r>
        <r>
          <rPr>
            <vertAlign val="superscript"/>
            <sz val="8"/>
            <color indexed="81"/>
            <rFont val="Tahoma"/>
            <family val="2"/>
          </rPr>
          <t>6</t>
        </r>
        <r>
          <rPr>
            <sz val="8"/>
            <color indexed="81"/>
            <rFont val="Tahoma"/>
            <charset val="204"/>
          </rPr>
          <t xml:space="preserve"> ;
Распростронёность в природе: 5*10-7%. 
</t>
        </r>
      </text>
    </comment>
    <comment ref="C7" authorId="0">
      <text>
        <r>
          <rPr>
            <sz val="8"/>
            <color indexed="81"/>
            <rFont val="Tahoma"/>
            <charset val="204"/>
          </rPr>
          <t xml:space="preserve">Порядковый номер: 11 ;
Атомная масса : 22,9898 ;
Электронная конфигурация: 3s ;
Распростронёность в природе: 0,005 %. </t>
        </r>
      </text>
    </comment>
    <comment ref="F7" authorId="0">
      <text>
        <r>
          <rPr>
            <sz val="8"/>
            <color indexed="81"/>
            <rFont val="Tahoma"/>
            <charset val="204"/>
          </rPr>
          <t>Порядковый номер: 12 ;
Атомная масса : 24,312 ;
Электронная конфигурация: 3s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 xml:space="preserve"> ;
Число изотопов: 3 ;
Распростронёность в природе: 2,35 %. </t>
        </r>
      </text>
    </comment>
    <comment ref="I7" authorId="0">
      <text>
        <r>
          <rPr>
            <sz val="8"/>
            <color indexed="81"/>
            <rFont val="Tahoma"/>
            <charset val="204"/>
          </rPr>
          <t>Порядковый номер: 13 ;
Атомная масса : 26,9815 ;
Электронная конфигурация: 3s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charset val="204"/>
          </rPr>
          <t xml:space="preserve">3p ;
Распростронёность в природе: 7,45 %. </t>
        </r>
      </text>
    </comment>
    <comment ref="L7" authorId="0">
      <text>
        <r>
          <rPr>
            <sz val="8"/>
            <color indexed="81"/>
            <rFont val="Tahoma"/>
            <charset val="204"/>
          </rPr>
          <t xml:space="preserve">Порядковый номер: 14 ;
Атомная масса : 28,096;
Электронная конфигурация: 1s ;
Число изотопов: 3 ;
Распростронёность в природе: 1,00 %. </t>
        </r>
      </text>
    </comment>
    <comment ref="O7" authorId="0">
      <text>
        <r>
          <rPr>
            <sz val="8"/>
            <color indexed="81"/>
            <rFont val="Tahoma"/>
            <charset val="204"/>
          </rPr>
          <t xml:space="preserve">Порядковый номер: 16 ;
Атомная масса :32,064 ;
Электронная конфигурация: 1s ;
Число изотопов: 3 ;
Распростронёность в природе: 1,00 %. </t>
        </r>
      </text>
    </comment>
    <comment ref="R7" authorId="0">
      <text>
        <r>
          <rPr>
            <sz val="8"/>
            <color indexed="81"/>
            <rFont val="Tahoma"/>
            <charset val="204"/>
          </rPr>
          <t xml:space="preserve">Порядковый номер: 1 ;
Атомная масса : 1,00797 ;
Электронная конфигурация: 1s ;
Число изотопов: 3 ;
Распростронёность в природе: 1,00 %. </t>
        </r>
      </text>
    </comment>
    <comment ref="U7" authorId="0">
      <text>
        <r>
          <rPr>
            <sz val="8"/>
            <color indexed="81"/>
            <rFont val="Tahoma"/>
            <charset val="204"/>
          </rPr>
          <t xml:space="preserve">Порядковый номер: 17 ;
Атомная масса : 35,453 ;
Электронная конфигурация: 1s ;
Число изотопов: 3 ;
Распростронёность в природе: 1,00 %. </t>
        </r>
      </text>
    </comment>
    <comment ref="X7" authorId="0">
      <text>
        <r>
          <rPr>
            <sz val="8"/>
            <color indexed="81"/>
            <rFont val="Tahoma"/>
            <charset val="204"/>
          </rPr>
          <t xml:space="preserve">Порядковый номер: 18 ;
Атомная масса : 39,948 ;
Электронная конфигурация: 1s ;
Число изотопов: 3 ;
Распростронёность в природе: 1,00 %. </t>
        </r>
      </text>
    </comment>
    <comment ref="C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A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D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
</t>
        </r>
      </text>
    </comment>
    <comment ref="F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1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A13" authorId="0">
      <text>
        <r>
          <rPr>
            <b/>
            <sz val="8"/>
            <color indexed="81"/>
            <rFont val="Tahoma"/>
            <charset val="204"/>
          </rPr>
          <t>Карачи АЮ: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D13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15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A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D17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1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A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D21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B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A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D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G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H29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
</t>
        </r>
      </text>
    </comment>
    <comment ref="B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C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F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I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L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O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R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U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X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A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D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G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  <comment ref="AH32" authorId="0">
      <text>
        <r>
          <rPr>
            <sz val="8"/>
            <color indexed="81"/>
            <rFont val="Tahoma"/>
            <charset val="204"/>
          </rPr>
          <t xml:space="preserve">Электронная конфигурация: 1s ;
Число изотопов: 3 ;
Распростронёность в природе: 1,00 %. </t>
        </r>
      </text>
    </comment>
  </commentList>
</comments>
</file>

<file path=xl/sharedStrings.xml><?xml version="1.0" encoding="utf-8"?>
<sst xmlns="http://schemas.openxmlformats.org/spreadsheetml/2006/main" count="1027" uniqueCount="504">
  <si>
    <t>периоды</t>
  </si>
  <si>
    <t xml:space="preserve">  ряды</t>
  </si>
  <si>
    <t>Г р у п п ы   э л е м е н т о в</t>
  </si>
  <si>
    <t>I</t>
  </si>
  <si>
    <t>II</t>
  </si>
  <si>
    <t>III</t>
  </si>
  <si>
    <t>IV</t>
  </si>
  <si>
    <t>V</t>
  </si>
  <si>
    <t>VI</t>
  </si>
  <si>
    <t>VII</t>
  </si>
  <si>
    <t>VIII</t>
  </si>
  <si>
    <r>
      <t xml:space="preserve">   </t>
    </r>
    <r>
      <rPr>
        <b/>
        <sz val="20"/>
        <rFont val="Arial Cyr"/>
        <family val="2"/>
        <charset val="204"/>
      </rPr>
      <t xml:space="preserve"> (H)</t>
    </r>
    <r>
      <rPr>
        <sz val="20"/>
        <rFont val="Arial Cyr"/>
        <family val="2"/>
        <charset val="204"/>
      </rPr>
      <t xml:space="preserve">      </t>
    </r>
  </si>
  <si>
    <t xml:space="preserve"> водород </t>
  </si>
  <si>
    <t xml:space="preserve"> гелий</t>
  </si>
  <si>
    <t xml:space="preserve"> литий          </t>
  </si>
  <si>
    <t xml:space="preserve"> берилий   </t>
  </si>
  <si>
    <t xml:space="preserve"> бор</t>
  </si>
  <si>
    <t xml:space="preserve"> углерод</t>
  </si>
  <si>
    <t xml:space="preserve"> азот</t>
  </si>
  <si>
    <t xml:space="preserve"> кислород</t>
  </si>
  <si>
    <t xml:space="preserve"> фтор</t>
  </si>
  <si>
    <t xml:space="preserve"> неон</t>
  </si>
  <si>
    <t xml:space="preserve"> натрий</t>
  </si>
  <si>
    <t xml:space="preserve"> магний</t>
  </si>
  <si>
    <t xml:space="preserve"> алюминий</t>
  </si>
  <si>
    <t xml:space="preserve"> кремний</t>
  </si>
  <si>
    <t xml:space="preserve"> фосфор</t>
  </si>
  <si>
    <t xml:space="preserve"> сера</t>
  </si>
  <si>
    <t xml:space="preserve"> хлор</t>
  </si>
  <si>
    <t xml:space="preserve"> калий</t>
  </si>
  <si>
    <t xml:space="preserve"> кальций</t>
  </si>
  <si>
    <t>бром</t>
  </si>
  <si>
    <t>высшие оксиды</t>
  </si>
  <si>
    <r>
      <t>R</t>
    </r>
    <r>
      <rPr>
        <b/>
        <vertAlign val="subscript"/>
        <sz val="20"/>
        <rFont val="Arial Cyr"/>
        <family val="2"/>
        <charset val="204"/>
      </rPr>
      <t>2</t>
    </r>
    <r>
      <rPr>
        <b/>
        <sz val="20"/>
        <rFont val="Arial Cyr"/>
        <family val="2"/>
        <charset val="204"/>
      </rPr>
      <t>O</t>
    </r>
  </si>
  <si>
    <t>RO</t>
  </si>
  <si>
    <r>
      <t>R</t>
    </r>
    <r>
      <rPr>
        <b/>
        <vertAlign val="subscript"/>
        <sz val="20"/>
        <rFont val="Arial Cyr"/>
        <family val="2"/>
        <charset val="204"/>
      </rPr>
      <t>2</t>
    </r>
    <r>
      <rPr>
        <b/>
        <sz val="20"/>
        <rFont val="Arial Cyr"/>
        <family val="2"/>
        <charset val="204"/>
      </rPr>
      <t>O</t>
    </r>
    <r>
      <rPr>
        <b/>
        <vertAlign val="subscript"/>
        <sz val="20"/>
        <rFont val="Arial Cyr"/>
        <family val="2"/>
        <charset val="204"/>
      </rPr>
      <t>3</t>
    </r>
  </si>
  <si>
    <r>
      <t>RO</t>
    </r>
    <r>
      <rPr>
        <b/>
        <vertAlign val="subscript"/>
        <sz val="20"/>
        <rFont val="Arial Cyr"/>
        <family val="2"/>
        <charset val="204"/>
      </rPr>
      <t>2</t>
    </r>
  </si>
  <si>
    <r>
      <t>R</t>
    </r>
    <r>
      <rPr>
        <b/>
        <vertAlign val="subscript"/>
        <sz val="20"/>
        <rFont val="Arial Cyr"/>
        <family val="2"/>
        <charset val="204"/>
      </rPr>
      <t>2</t>
    </r>
    <r>
      <rPr>
        <b/>
        <sz val="20"/>
        <rFont val="Arial Cyr"/>
        <family val="2"/>
        <charset val="204"/>
      </rPr>
      <t>O</t>
    </r>
    <r>
      <rPr>
        <b/>
        <vertAlign val="subscript"/>
        <sz val="20"/>
        <rFont val="Arial Cyr"/>
        <family val="2"/>
        <charset val="204"/>
      </rPr>
      <t>5</t>
    </r>
  </si>
  <si>
    <r>
      <t>RO</t>
    </r>
    <r>
      <rPr>
        <b/>
        <vertAlign val="subscript"/>
        <sz val="20"/>
        <rFont val="Arial Cyr"/>
        <family val="2"/>
        <charset val="204"/>
      </rPr>
      <t>3</t>
    </r>
  </si>
  <si>
    <r>
      <t>R</t>
    </r>
    <r>
      <rPr>
        <b/>
        <vertAlign val="subscript"/>
        <sz val="20"/>
        <rFont val="Arial Cyr"/>
        <family val="2"/>
        <charset val="204"/>
      </rPr>
      <t>2</t>
    </r>
    <r>
      <rPr>
        <b/>
        <sz val="20"/>
        <rFont val="Arial Cyr"/>
        <family val="2"/>
        <charset val="204"/>
      </rPr>
      <t>O</t>
    </r>
    <r>
      <rPr>
        <b/>
        <vertAlign val="subscript"/>
        <sz val="20"/>
        <rFont val="Arial Cyr"/>
        <family val="2"/>
        <charset val="204"/>
      </rPr>
      <t>7</t>
    </r>
    <r>
      <rPr>
        <sz val="10"/>
        <rFont val="Arial Cyr"/>
        <charset val="204"/>
      </rPr>
      <t/>
    </r>
  </si>
  <si>
    <r>
      <t>летучие</t>
    </r>
    <r>
      <rPr>
        <b/>
        <sz val="14"/>
        <rFont val="Verdana"/>
        <family val="2"/>
        <charset val="204"/>
      </rPr>
      <t xml:space="preserve"> </t>
    </r>
  </si>
  <si>
    <r>
      <t>RH</t>
    </r>
    <r>
      <rPr>
        <b/>
        <vertAlign val="subscript"/>
        <sz val="20"/>
        <rFont val="Arial Cyr"/>
        <family val="2"/>
        <charset val="204"/>
      </rPr>
      <t>4</t>
    </r>
  </si>
  <si>
    <r>
      <t>RH</t>
    </r>
    <r>
      <rPr>
        <b/>
        <vertAlign val="subscript"/>
        <sz val="20"/>
        <rFont val="Arial Cyr"/>
        <family val="2"/>
        <charset val="204"/>
      </rPr>
      <t>3</t>
    </r>
  </si>
  <si>
    <r>
      <t>RH</t>
    </r>
    <r>
      <rPr>
        <b/>
        <vertAlign val="subscript"/>
        <sz val="20"/>
        <rFont val="Arial Cyr"/>
        <family val="2"/>
        <charset val="204"/>
      </rPr>
      <t>2</t>
    </r>
  </si>
  <si>
    <t>RH</t>
  </si>
  <si>
    <t>водородные</t>
  </si>
  <si>
    <t>соединения</t>
  </si>
  <si>
    <t>лантоноиды*</t>
  </si>
  <si>
    <r>
      <t xml:space="preserve"> 58</t>
    </r>
    <r>
      <rPr>
        <vertAlign val="subscript"/>
        <sz val="12"/>
        <rFont val="Arial Cyr"/>
        <family val="2"/>
        <charset val="204"/>
      </rPr>
      <t xml:space="preserve">140,1        </t>
    </r>
    <r>
      <rPr>
        <b/>
        <sz val="22"/>
        <rFont val="Arial Cyr"/>
        <family val="2"/>
        <charset val="204"/>
      </rPr>
      <t>Ce</t>
    </r>
  </si>
  <si>
    <r>
      <t>59</t>
    </r>
    <r>
      <rPr>
        <vertAlign val="subscript"/>
        <sz val="12"/>
        <rFont val="Arial Cyr"/>
        <family val="2"/>
        <charset val="204"/>
      </rPr>
      <t>140,9</t>
    </r>
    <r>
      <rPr>
        <vertAlign val="subscript"/>
        <sz val="9"/>
        <rFont val="Arial Cyr"/>
        <family val="2"/>
        <charset val="204"/>
      </rPr>
      <t xml:space="preserve">                  </t>
    </r>
    <r>
      <rPr>
        <b/>
        <sz val="20"/>
        <rFont val="Arial Cyr"/>
        <family val="2"/>
        <charset val="204"/>
      </rPr>
      <t>Pr</t>
    </r>
  </si>
  <si>
    <r>
      <t>70</t>
    </r>
    <r>
      <rPr>
        <vertAlign val="subscript"/>
        <sz val="12"/>
        <rFont val="Arial Cyr"/>
        <family val="2"/>
        <charset val="204"/>
      </rPr>
      <t>173,04</t>
    </r>
    <r>
      <rPr>
        <vertAlign val="subscript"/>
        <sz val="9"/>
        <rFont val="Arial Cyr"/>
        <family val="2"/>
        <charset val="204"/>
      </rPr>
      <t xml:space="preserve">           </t>
    </r>
    <r>
      <rPr>
        <b/>
        <sz val="20"/>
        <rFont val="Arial Cyr"/>
        <family val="2"/>
        <charset val="204"/>
      </rPr>
      <t>Yd</t>
    </r>
  </si>
  <si>
    <r>
      <t>71</t>
    </r>
    <r>
      <rPr>
        <vertAlign val="subscript"/>
        <sz val="12"/>
        <rFont val="Arial Cyr"/>
        <family val="2"/>
        <charset val="204"/>
      </rPr>
      <t>174,97</t>
    </r>
    <r>
      <rPr>
        <vertAlign val="subscript"/>
        <sz val="9"/>
        <rFont val="Arial Cyr"/>
        <family val="2"/>
        <charset val="204"/>
      </rPr>
      <t xml:space="preserve">           </t>
    </r>
    <r>
      <rPr>
        <b/>
        <sz val="20"/>
        <rFont val="Arial Cyr"/>
        <family val="2"/>
        <charset val="204"/>
      </rPr>
      <t>Lu</t>
    </r>
  </si>
  <si>
    <t>Неодим</t>
  </si>
  <si>
    <t>Прометий</t>
  </si>
  <si>
    <t>Самарий</t>
  </si>
  <si>
    <t>Европий</t>
  </si>
  <si>
    <t>Гадолиний</t>
  </si>
  <si>
    <t>Тербий</t>
  </si>
  <si>
    <t>Диспрозий</t>
  </si>
  <si>
    <t>Гольмий</t>
  </si>
  <si>
    <t>Эрбий</t>
  </si>
  <si>
    <t>Тулий</t>
  </si>
  <si>
    <t>Иттербий</t>
  </si>
  <si>
    <t>Лютеций</t>
  </si>
  <si>
    <t>актиноиды**</t>
  </si>
  <si>
    <r>
      <t xml:space="preserve">90 </t>
    </r>
    <r>
      <rPr>
        <vertAlign val="subscript"/>
        <sz val="12"/>
        <rFont val="Arial Cyr"/>
        <family val="2"/>
        <charset val="204"/>
      </rPr>
      <t xml:space="preserve">232,3 </t>
    </r>
    <r>
      <rPr>
        <vertAlign val="subscript"/>
        <sz val="9"/>
        <rFont val="Arial Cyr"/>
        <family val="2"/>
        <charset val="204"/>
      </rPr>
      <t xml:space="preserve">           </t>
    </r>
    <r>
      <rPr>
        <b/>
        <sz val="20"/>
        <rFont val="Arial Cyr"/>
        <family val="2"/>
        <charset val="204"/>
      </rPr>
      <t>Th</t>
    </r>
  </si>
  <si>
    <r>
      <t xml:space="preserve">91 </t>
    </r>
    <r>
      <rPr>
        <vertAlign val="subscript"/>
        <sz val="12"/>
        <rFont val="Arial Cyr"/>
        <family val="2"/>
        <charset val="204"/>
      </rPr>
      <t xml:space="preserve">[231] </t>
    </r>
    <r>
      <rPr>
        <vertAlign val="subscript"/>
        <sz val="9"/>
        <rFont val="Arial Cyr"/>
        <family val="2"/>
        <charset val="204"/>
      </rPr>
      <t xml:space="preserve">             </t>
    </r>
    <r>
      <rPr>
        <b/>
        <sz val="20"/>
        <rFont val="Arial Cyr"/>
        <family val="2"/>
        <charset val="204"/>
      </rPr>
      <t>Pa</t>
    </r>
  </si>
  <si>
    <r>
      <t xml:space="preserve">102 </t>
    </r>
    <r>
      <rPr>
        <vertAlign val="subscript"/>
        <sz val="12"/>
        <rFont val="Arial Cyr"/>
        <family val="2"/>
        <charset val="204"/>
      </rPr>
      <t xml:space="preserve">[255] </t>
    </r>
    <r>
      <rPr>
        <vertAlign val="subscript"/>
        <sz val="9"/>
        <rFont val="Arial Cyr"/>
        <family val="2"/>
        <charset val="204"/>
      </rPr>
      <t xml:space="preserve">         </t>
    </r>
    <r>
      <rPr>
        <b/>
        <sz val="20"/>
        <rFont val="Arial Cyr"/>
        <family val="2"/>
        <charset val="204"/>
      </rPr>
      <t>No</t>
    </r>
  </si>
  <si>
    <r>
      <t xml:space="preserve">103 </t>
    </r>
    <r>
      <rPr>
        <vertAlign val="subscript"/>
        <sz val="12"/>
        <rFont val="Arial Cyr"/>
        <family val="2"/>
        <charset val="204"/>
      </rPr>
      <t xml:space="preserve">[257] </t>
    </r>
    <r>
      <rPr>
        <vertAlign val="subscript"/>
        <sz val="9"/>
        <rFont val="Arial Cyr"/>
        <family val="2"/>
        <charset val="204"/>
      </rPr>
      <t xml:space="preserve">           </t>
    </r>
    <r>
      <rPr>
        <b/>
        <sz val="20"/>
        <rFont val="Arial Cyr"/>
        <family val="2"/>
        <charset val="204"/>
      </rPr>
      <t>Lr</t>
    </r>
  </si>
  <si>
    <r>
      <t>торий</t>
    </r>
    <r>
      <rPr>
        <sz val="11"/>
        <color theme="1"/>
        <rFont val="Calibri"/>
        <family val="2"/>
        <scheme val="minor"/>
      </rPr>
      <t xml:space="preserve">   </t>
    </r>
    <r>
      <rPr>
        <vertAlign val="subscript"/>
        <sz val="10"/>
        <rFont val="Arial Cyr"/>
        <family val="2"/>
        <charset val="204"/>
      </rPr>
      <t xml:space="preserve">      </t>
    </r>
  </si>
  <si>
    <t>Уран</t>
  </si>
  <si>
    <t>Нептуний</t>
  </si>
  <si>
    <t>Плутоний</t>
  </si>
  <si>
    <t>Америций</t>
  </si>
  <si>
    <t>Кюрий</t>
  </si>
  <si>
    <t xml:space="preserve">Берклий        </t>
  </si>
  <si>
    <t>Калифорний</t>
  </si>
  <si>
    <t>Эйнштейний</t>
  </si>
  <si>
    <t>Фермий</t>
  </si>
  <si>
    <t>Менделевий</t>
  </si>
  <si>
    <t>Нобелий</t>
  </si>
  <si>
    <t>Лоуренсий</t>
  </si>
  <si>
    <t>АНИОНЫ</t>
  </si>
  <si>
    <t>КАТИОНЫ</t>
  </si>
  <si>
    <r>
      <t>H</t>
    </r>
    <r>
      <rPr>
        <b/>
        <vertAlign val="superscript"/>
        <sz val="16"/>
        <rFont val="Arial Cyr"/>
        <family val="2"/>
        <charset val="204"/>
      </rPr>
      <t>+</t>
    </r>
  </si>
  <si>
    <r>
      <t>Li</t>
    </r>
    <r>
      <rPr>
        <b/>
        <vertAlign val="superscript"/>
        <sz val="16"/>
        <rFont val="Arial Cyr"/>
        <family val="2"/>
        <charset val="204"/>
      </rPr>
      <t>+</t>
    </r>
  </si>
  <si>
    <r>
      <t>R</t>
    </r>
    <r>
      <rPr>
        <b/>
        <vertAlign val="superscript"/>
        <sz val="16"/>
        <rFont val="Arial Cyr"/>
        <family val="2"/>
        <charset val="204"/>
      </rPr>
      <t>+</t>
    </r>
  </si>
  <si>
    <r>
      <t>Na</t>
    </r>
    <r>
      <rPr>
        <b/>
        <vertAlign val="superscript"/>
        <sz val="16"/>
        <rFont val="Arial Cyr"/>
        <family val="2"/>
        <charset val="204"/>
      </rPr>
      <t>+</t>
    </r>
  </si>
  <si>
    <r>
      <t>NH</t>
    </r>
    <r>
      <rPr>
        <b/>
        <vertAlign val="superscript"/>
        <sz val="16"/>
        <rFont val="Arial Cyr"/>
        <family val="2"/>
        <charset val="204"/>
      </rPr>
      <t>4+</t>
    </r>
  </si>
  <si>
    <r>
      <t>Ba</t>
    </r>
    <r>
      <rPr>
        <b/>
        <vertAlign val="superscript"/>
        <sz val="16"/>
        <rFont val="Arial Cyr"/>
        <family val="2"/>
        <charset val="204"/>
      </rPr>
      <t>2+</t>
    </r>
  </si>
  <si>
    <r>
      <t>Ca</t>
    </r>
    <r>
      <rPr>
        <b/>
        <vertAlign val="superscript"/>
        <sz val="16"/>
        <rFont val="Arial Cyr"/>
        <family val="2"/>
        <charset val="204"/>
      </rPr>
      <t>2+</t>
    </r>
  </si>
  <si>
    <r>
      <t>Mg</t>
    </r>
    <r>
      <rPr>
        <b/>
        <vertAlign val="superscript"/>
        <sz val="16"/>
        <rFont val="Arial Cyr"/>
        <family val="2"/>
        <charset val="204"/>
      </rPr>
      <t>2+</t>
    </r>
  </si>
  <si>
    <r>
      <t>Sr</t>
    </r>
    <r>
      <rPr>
        <b/>
        <vertAlign val="superscript"/>
        <sz val="16"/>
        <rFont val="Arial Cyr"/>
        <family val="2"/>
        <charset val="204"/>
      </rPr>
      <t>2+</t>
    </r>
  </si>
  <si>
    <r>
      <t>Al</t>
    </r>
    <r>
      <rPr>
        <b/>
        <vertAlign val="superscript"/>
        <sz val="16"/>
        <rFont val="Arial Cyr"/>
        <family val="2"/>
        <charset val="204"/>
      </rPr>
      <t>3+</t>
    </r>
  </si>
  <si>
    <r>
      <t>Cr</t>
    </r>
    <r>
      <rPr>
        <b/>
        <vertAlign val="superscript"/>
        <sz val="16"/>
        <rFont val="Arial Cyr"/>
        <family val="2"/>
        <charset val="204"/>
      </rPr>
      <t>3+</t>
    </r>
  </si>
  <si>
    <r>
      <t>Fe</t>
    </r>
    <r>
      <rPr>
        <b/>
        <vertAlign val="superscript"/>
        <sz val="16"/>
        <rFont val="Arial Cyr"/>
        <family val="2"/>
        <charset val="204"/>
      </rPr>
      <t>2+</t>
    </r>
  </si>
  <si>
    <r>
      <t>Fe</t>
    </r>
    <r>
      <rPr>
        <b/>
        <vertAlign val="superscript"/>
        <sz val="16"/>
        <rFont val="Arial Cyr"/>
        <family val="2"/>
        <charset val="204"/>
      </rPr>
      <t>3+</t>
    </r>
  </si>
  <si>
    <r>
      <t>Ni</t>
    </r>
    <r>
      <rPr>
        <b/>
        <vertAlign val="superscript"/>
        <sz val="16"/>
        <rFont val="Arial Cyr"/>
        <family val="2"/>
        <charset val="204"/>
      </rPr>
      <t>2+</t>
    </r>
  </si>
  <si>
    <r>
      <t>Co</t>
    </r>
    <r>
      <rPr>
        <b/>
        <vertAlign val="superscript"/>
        <sz val="16"/>
        <rFont val="Arial Cyr"/>
        <family val="2"/>
        <charset val="204"/>
      </rPr>
      <t>2+</t>
    </r>
  </si>
  <si>
    <r>
      <t>Mn</t>
    </r>
    <r>
      <rPr>
        <b/>
        <vertAlign val="superscript"/>
        <sz val="16"/>
        <rFont val="Arial Cyr"/>
        <family val="2"/>
        <charset val="204"/>
      </rPr>
      <t>2+</t>
    </r>
  </si>
  <si>
    <r>
      <t>Zn</t>
    </r>
    <r>
      <rPr>
        <b/>
        <vertAlign val="superscript"/>
        <sz val="16"/>
        <rFont val="Arial Cyr"/>
        <family val="2"/>
        <charset val="204"/>
      </rPr>
      <t>2+</t>
    </r>
  </si>
  <si>
    <r>
      <t>Ag</t>
    </r>
    <r>
      <rPr>
        <b/>
        <vertAlign val="superscript"/>
        <sz val="16"/>
        <rFont val="Arial Cyr"/>
        <family val="2"/>
        <charset val="204"/>
      </rPr>
      <t>+</t>
    </r>
  </si>
  <si>
    <r>
      <t>Hg</t>
    </r>
    <r>
      <rPr>
        <b/>
        <vertAlign val="superscript"/>
        <sz val="16"/>
        <rFont val="Arial Cyr"/>
        <family val="2"/>
        <charset val="204"/>
      </rPr>
      <t>2+</t>
    </r>
  </si>
  <si>
    <r>
      <t>Pb</t>
    </r>
    <r>
      <rPr>
        <b/>
        <vertAlign val="superscript"/>
        <sz val="16"/>
        <rFont val="Arial Cyr"/>
        <family val="2"/>
        <charset val="204"/>
      </rPr>
      <t>2+</t>
    </r>
  </si>
  <si>
    <r>
      <t>Sn</t>
    </r>
    <r>
      <rPr>
        <b/>
        <vertAlign val="superscript"/>
        <sz val="16"/>
        <rFont val="Arial Cyr"/>
        <family val="2"/>
        <charset val="204"/>
      </rPr>
      <t>2+</t>
    </r>
  </si>
  <si>
    <r>
      <t>Cu</t>
    </r>
    <r>
      <rPr>
        <b/>
        <vertAlign val="superscript"/>
        <sz val="16"/>
        <rFont val="Arial Cyr"/>
        <family val="2"/>
        <charset val="204"/>
      </rPr>
      <t>2+</t>
    </r>
  </si>
  <si>
    <r>
      <t>OH</t>
    </r>
    <r>
      <rPr>
        <vertAlign val="superscript"/>
        <sz val="20"/>
        <rFont val="Arial Cyr"/>
        <family val="2"/>
        <charset val="204"/>
      </rPr>
      <t>-</t>
    </r>
  </si>
  <si>
    <t>Р</t>
  </si>
  <si>
    <t>М</t>
  </si>
  <si>
    <t>Н</t>
  </si>
  <si>
    <t>-</t>
  </si>
  <si>
    <r>
      <t>F</t>
    </r>
    <r>
      <rPr>
        <vertAlign val="superscript"/>
        <sz val="20"/>
        <rFont val="Arial Cyr"/>
        <family val="2"/>
        <charset val="204"/>
      </rPr>
      <t>-</t>
    </r>
  </si>
  <si>
    <r>
      <t>Cl</t>
    </r>
    <r>
      <rPr>
        <vertAlign val="superscript"/>
        <sz val="20"/>
        <rFont val="Arial Cyr"/>
        <family val="2"/>
        <charset val="204"/>
      </rPr>
      <t>-</t>
    </r>
  </si>
  <si>
    <r>
      <t>Br</t>
    </r>
    <r>
      <rPr>
        <vertAlign val="superscript"/>
        <sz val="20"/>
        <rFont val="Arial Cyr"/>
        <family val="2"/>
        <charset val="204"/>
      </rPr>
      <t>-</t>
    </r>
  </si>
  <si>
    <r>
      <t>I</t>
    </r>
    <r>
      <rPr>
        <vertAlign val="superscript"/>
        <sz val="20"/>
        <rFont val="Arial Cyr"/>
        <family val="2"/>
        <charset val="204"/>
      </rPr>
      <t>-</t>
    </r>
  </si>
  <si>
    <t>?</t>
  </si>
  <si>
    <r>
      <t>S</t>
    </r>
    <r>
      <rPr>
        <b/>
        <vertAlign val="superscript"/>
        <sz val="16"/>
        <rFont val="Arial Cyr"/>
        <family val="2"/>
        <charset val="204"/>
      </rPr>
      <t>2</t>
    </r>
    <r>
      <rPr>
        <b/>
        <vertAlign val="superscript"/>
        <sz val="18"/>
        <rFont val="Arial Cyr"/>
        <family val="2"/>
        <charset val="204"/>
      </rPr>
      <t>-</t>
    </r>
  </si>
  <si>
    <r>
      <t>SO</t>
    </r>
    <r>
      <rPr>
        <b/>
        <vertAlign val="subscript"/>
        <sz val="16"/>
        <rFont val="Arial Cyr"/>
        <family val="2"/>
        <charset val="204"/>
      </rPr>
      <t>3</t>
    </r>
    <r>
      <rPr>
        <b/>
        <vertAlign val="superscript"/>
        <sz val="16"/>
        <rFont val="Arial Cyr"/>
        <family val="2"/>
        <charset val="204"/>
      </rPr>
      <t>2</t>
    </r>
    <r>
      <rPr>
        <b/>
        <vertAlign val="superscript"/>
        <sz val="18"/>
        <rFont val="Arial Cyr"/>
        <family val="2"/>
        <charset val="204"/>
      </rPr>
      <t>-</t>
    </r>
  </si>
  <si>
    <r>
      <t>SO</t>
    </r>
    <r>
      <rPr>
        <b/>
        <vertAlign val="subscript"/>
        <sz val="16"/>
        <rFont val="Arial Cyr"/>
        <family val="2"/>
        <charset val="204"/>
      </rPr>
      <t>4</t>
    </r>
    <r>
      <rPr>
        <b/>
        <vertAlign val="superscript"/>
        <sz val="16"/>
        <rFont val="Arial Cyr"/>
        <family val="2"/>
        <charset val="204"/>
      </rPr>
      <t>2</t>
    </r>
    <r>
      <rPr>
        <b/>
        <vertAlign val="superscript"/>
        <sz val="18"/>
        <rFont val="Arial Cyr"/>
        <family val="2"/>
        <charset val="204"/>
      </rPr>
      <t>-</t>
    </r>
  </si>
  <si>
    <r>
      <t>NO</t>
    </r>
    <r>
      <rPr>
        <b/>
        <vertAlign val="subscript"/>
        <sz val="16"/>
        <rFont val="Arial Cyr"/>
        <family val="2"/>
        <charset val="204"/>
      </rPr>
      <t>3</t>
    </r>
    <r>
      <rPr>
        <b/>
        <vertAlign val="superscript"/>
        <sz val="18"/>
        <rFont val="Arial Cyr"/>
        <family val="2"/>
        <charset val="204"/>
      </rPr>
      <t>-</t>
    </r>
  </si>
  <si>
    <r>
      <t>NO</t>
    </r>
    <r>
      <rPr>
        <b/>
        <vertAlign val="subscript"/>
        <sz val="16"/>
        <rFont val="Arial Cyr"/>
        <family val="2"/>
        <charset val="204"/>
      </rPr>
      <t>2</t>
    </r>
    <r>
      <rPr>
        <b/>
        <vertAlign val="superscript"/>
        <sz val="18"/>
        <rFont val="Arial Cyr"/>
        <family val="2"/>
        <charset val="204"/>
      </rPr>
      <t>-</t>
    </r>
  </si>
  <si>
    <r>
      <t>PO</t>
    </r>
    <r>
      <rPr>
        <b/>
        <vertAlign val="subscript"/>
        <sz val="16"/>
        <rFont val="Arial Cyr"/>
        <family val="2"/>
        <charset val="204"/>
      </rPr>
      <t>4</t>
    </r>
    <r>
      <rPr>
        <b/>
        <vertAlign val="superscript"/>
        <sz val="16"/>
        <rFont val="Arial Cyr"/>
        <family val="2"/>
        <charset val="204"/>
      </rPr>
      <t>3-</t>
    </r>
  </si>
  <si>
    <r>
      <t>CO</t>
    </r>
    <r>
      <rPr>
        <b/>
        <vertAlign val="subscript"/>
        <sz val="16"/>
        <rFont val="Arial Cyr"/>
        <family val="2"/>
        <charset val="204"/>
      </rPr>
      <t>3</t>
    </r>
    <r>
      <rPr>
        <b/>
        <vertAlign val="superscript"/>
        <sz val="16"/>
        <rFont val="Arial Cyr"/>
        <family val="2"/>
        <charset val="204"/>
      </rPr>
      <t>2-</t>
    </r>
  </si>
  <si>
    <r>
      <t>CH</t>
    </r>
    <r>
      <rPr>
        <b/>
        <vertAlign val="subscript"/>
        <sz val="16"/>
        <rFont val="Arial Cyr"/>
        <family val="2"/>
        <charset val="204"/>
      </rPr>
      <t>3</t>
    </r>
    <r>
      <rPr>
        <sz val="16"/>
        <rFont val="Arial Cyr"/>
        <family val="2"/>
        <charset val="204"/>
      </rPr>
      <t>COO</t>
    </r>
    <r>
      <rPr>
        <b/>
        <vertAlign val="superscript"/>
        <sz val="16"/>
        <rFont val="Arial Cyr"/>
        <family val="2"/>
        <charset val="204"/>
      </rPr>
      <t>-</t>
    </r>
  </si>
  <si>
    <r>
      <t>SiO</t>
    </r>
    <r>
      <rPr>
        <b/>
        <vertAlign val="subscript"/>
        <sz val="16"/>
        <rFont val="Arial Cyr"/>
        <family val="2"/>
        <charset val="204"/>
      </rPr>
      <t>3</t>
    </r>
    <r>
      <rPr>
        <b/>
        <vertAlign val="superscript"/>
        <sz val="16"/>
        <rFont val="Arial Cyr"/>
        <family val="2"/>
        <charset val="204"/>
      </rPr>
      <t>2-</t>
    </r>
  </si>
  <si>
    <t>NaCl</t>
  </si>
  <si>
    <t>KCl</t>
  </si>
  <si>
    <t>KBr</t>
  </si>
  <si>
    <t>Вещество</t>
  </si>
  <si>
    <t>Вес</t>
  </si>
  <si>
    <t>Элемент</t>
  </si>
  <si>
    <t>%</t>
  </si>
  <si>
    <t>LiF</t>
  </si>
  <si>
    <t xml:space="preserve">H  </t>
  </si>
  <si>
    <t>Li</t>
  </si>
  <si>
    <t>Na</t>
  </si>
  <si>
    <t>K</t>
  </si>
  <si>
    <t>Cu</t>
  </si>
  <si>
    <t>Au</t>
  </si>
  <si>
    <t>Cs</t>
  </si>
  <si>
    <t>Ag</t>
  </si>
  <si>
    <t>Rb</t>
  </si>
  <si>
    <t>Fr</t>
  </si>
  <si>
    <t>Cl</t>
  </si>
  <si>
    <r>
      <t>FeSO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*7H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</si>
  <si>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CuSO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*5H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</si>
  <si>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NiSO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*5H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</si>
  <si>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ZnSO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 xml:space="preserve"> * 7H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</si>
  <si>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MnSO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 xml:space="preserve"> * 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</si>
  <si>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CoSO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 xml:space="preserve"> * 7H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</si>
  <si>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Na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MoO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 xml:space="preserve"> * 2H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</si>
  <si>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t>Be</t>
  </si>
  <si>
    <t>Mg</t>
  </si>
  <si>
    <t>Ca</t>
  </si>
  <si>
    <t>Zn</t>
  </si>
  <si>
    <t>Sr</t>
  </si>
  <si>
    <t>Cd</t>
  </si>
  <si>
    <t>Ba</t>
  </si>
  <si>
    <t>Hg</t>
  </si>
  <si>
    <t>Ra</t>
  </si>
  <si>
    <t xml:space="preserve"> скандий</t>
  </si>
  <si>
    <t>B</t>
  </si>
  <si>
    <t>Al</t>
  </si>
  <si>
    <t>Sc</t>
  </si>
  <si>
    <t>Ga</t>
  </si>
  <si>
    <t>Y</t>
  </si>
  <si>
    <t>In</t>
  </si>
  <si>
    <t>La*</t>
  </si>
  <si>
    <t>Tl</t>
  </si>
  <si>
    <t>Ac**</t>
  </si>
  <si>
    <t xml:space="preserve"> титан</t>
  </si>
  <si>
    <t>C</t>
  </si>
  <si>
    <t>Si</t>
  </si>
  <si>
    <t>Ti</t>
  </si>
  <si>
    <t>Ge</t>
  </si>
  <si>
    <t>Zr</t>
  </si>
  <si>
    <t>Sn</t>
  </si>
  <si>
    <t>Hf</t>
  </si>
  <si>
    <t>Pb</t>
  </si>
  <si>
    <t>Db</t>
  </si>
  <si>
    <t>Nd</t>
  </si>
  <si>
    <t>U</t>
  </si>
  <si>
    <t>презеодим</t>
  </si>
  <si>
    <r>
      <t xml:space="preserve">церий </t>
    </r>
    <r>
      <rPr>
        <sz val="9"/>
        <rFont val="Arial Cyr"/>
        <family val="2"/>
        <charset val="204"/>
      </rPr>
      <t xml:space="preserve">    </t>
    </r>
  </si>
  <si>
    <t>протактиний</t>
  </si>
  <si>
    <t>Pm</t>
  </si>
  <si>
    <t xml:space="preserve"> ванадий</t>
  </si>
  <si>
    <t>N</t>
  </si>
  <si>
    <t>As</t>
  </si>
  <si>
    <t>Nb</t>
  </si>
  <si>
    <t>Sb</t>
  </si>
  <si>
    <t>Ta</t>
  </si>
  <si>
    <t>Bi</t>
  </si>
  <si>
    <t>Ji</t>
  </si>
  <si>
    <t xml:space="preserve"> хром</t>
  </si>
  <si>
    <t>O</t>
  </si>
  <si>
    <t>S</t>
  </si>
  <si>
    <t>Cr</t>
  </si>
  <si>
    <t>Se</t>
  </si>
  <si>
    <t>Mo</t>
  </si>
  <si>
    <t>Te</t>
  </si>
  <si>
    <t>W</t>
  </si>
  <si>
    <t>Po</t>
  </si>
  <si>
    <t>Rf</t>
  </si>
  <si>
    <t>F</t>
  </si>
  <si>
    <t>Mn</t>
  </si>
  <si>
    <t>Br</t>
  </si>
  <si>
    <t>Tc</t>
  </si>
  <si>
    <t>Re</t>
  </si>
  <si>
    <t>At</t>
  </si>
  <si>
    <t>Bh</t>
  </si>
  <si>
    <t>He</t>
  </si>
  <si>
    <t>Ne</t>
  </si>
  <si>
    <t>Ar</t>
  </si>
  <si>
    <t>Fe</t>
  </si>
  <si>
    <t>Kr</t>
  </si>
  <si>
    <t>Ru</t>
  </si>
  <si>
    <t>Xe</t>
  </si>
  <si>
    <t>Os</t>
  </si>
  <si>
    <t>Rn</t>
  </si>
  <si>
    <t>Hn</t>
  </si>
  <si>
    <t xml:space="preserve"> марганец</t>
  </si>
  <si>
    <t xml:space="preserve"> технеций</t>
  </si>
  <si>
    <t xml:space="preserve"> железо</t>
  </si>
  <si>
    <t xml:space="preserve"> криптон</t>
  </si>
  <si>
    <t xml:space="preserve"> рутений</t>
  </si>
  <si>
    <t xml:space="preserve"> ксенон</t>
  </si>
  <si>
    <t xml:space="preserve"> осмий</t>
  </si>
  <si>
    <t xml:space="preserve"> радон</t>
  </si>
  <si>
    <t xml:space="preserve"> ганий</t>
  </si>
  <si>
    <t xml:space="preserve"> жолиотий</t>
  </si>
  <si>
    <t xml:space="preserve"> резерфордий</t>
  </si>
  <si>
    <t xml:space="preserve"> вольфрам</t>
  </si>
  <si>
    <t xml:space="preserve"> медь</t>
  </si>
  <si>
    <t xml:space="preserve"> рубидий</t>
  </si>
  <si>
    <t xml:space="preserve"> серебро</t>
  </si>
  <si>
    <t xml:space="preserve"> цезий</t>
  </si>
  <si>
    <t xml:space="preserve"> золото</t>
  </si>
  <si>
    <t xml:space="preserve"> франций</t>
  </si>
  <si>
    <t xml:space="preserve"> цинк</t>
  </si>
  <si>
    <t xml:space="preserve"> стронций</t>
  </si>
  <si>
    <t xml:space="preserve"> кадмий</t>
  </si>
  <si>
    <t xml:space="preserve"> барий</t>
  </si>
  <si>
    <t xml:space="preserve"> ртуть</t>
  </si>
  <si>
    <t xml:space="preserve"> радий</t>
  </si>
  <si>
    <t xml:space="preserve"> галлий</t>
  </si>
  <si>
    <t xml:space="preserve"> иттрий</t>
  </si>
  <si>
    <t xml:space="preserve"> индий</t>
  </si>
  <si>
    <t xml:space="preserve"> лантан</t>
  </si>
  <si>
    <t xml:space="preserve"> таллий</t>
  </si>
  <si>
    <t xml:space="preserve"> актиний</t>
  </si>
  <si>
    <t xml:space="preserve"> германий</t>
  </si>
  <si>
    <t xml:space="preserve"> цирконий</t>
  </si>
  <si>
    <t xml:space="preserve"> олово</t>
  </si>
  <si>
    <t xml:space="preserve"> гафний</t>
  </si>
  <si>
    <t xml:space="preserve"> свинец</t>
  </si>
  <si>
    <t xml:space="preserve"> дубний</t>
  </si>
  <si>
    <t xml:space="preserve"> мышьяк</t>
  </si>
  <si>
    <t xml:space="preserve"> ниобий</t>
  </si>
  <si>
    <t xml:space="preserve"> сурьма</t>
  </si>
  <si>
    <t xml:space="preserve"> тантал</t>
  </si>
  <si>
    <t xml:space="preserve"> висмут</t>
  </si>
  <si>
    <t xml:space="preserve"> селен</t>
  </si>
  <si>
    <t xml:space="preserve"> молибден</t>
  </si>
  <si>
    <t xml:space="preserve"> теллур</t>
  </si>
  <si>
    <t xml:space="preserve"> полоний</t>
  </si>
  <si>
    <t xml:space="preserve"> иод</t>
  </si>
  <si>
    <t xml:space="preserve"> рений</t>
  </si>
  <si>
    <t xml:space="preserve"> астат</t>
  </si>
  <si>
    <t xml:space="preserve"> борий</t>
  </si>
  <si>
    <r>
      <t xml:space="preserve"> </t>
    </r>
    <r>
      <rPr>
        <b/>
        <vertAlign val="subscript"/>
        <sz val="14"/>
        <rFont val="Arial Cyr"/>
        <family val="2"/>
        <charset val="204"/>
      </rPr>
      <t>аргон</t>
    </r>
  </si>
  <si>
    <t>Co</t>
  </si>
  <si>
    <t>Rh</t>
  </si>
  <si>
    <t>Ir</t>
  </si>
  <si>
    <t>Mt</t>
  </si>
  <si>
    <t>Ni</t>
  </si>
  <si>
    <t>Pd</t>
  </si>
  <si>
    <t>Pt</t>
  </si>
  <si>
    <t xml:space="preserve"> кобальт</t>
  </si>
  <si>
    <t xml:space="preserve"> родий</t>
  </si>
  <si>
    <t xml:space="preserve"> иридий</t>
  </si>
  <si>
    <t xml:space="preserve"> мейтнерий</t>
  </si>
  <si>
    <t xml:space="preserve"> палладий</t>
  </si>
  <si>
    <t xml:space="preserve"> платина</t>
  </si>
  <si>
    <t xml:space="preserve"> никель</t>
  </si>
  <si>
    <t>Np</t>
  </si>
  <si>
    <t>Sm</t>
  </si>
  <si>
    <t>Pu</t>
  </si>
  <si>
    <t>Eu</t>
  </si>
  <si>
    <t>Am</t>
  </si>
  <si>
    <t>Gd</t>
  </si>
  <si>
    <t>Cm</t>
  </si>
  <si>
    <t>Td</t>
  </si>
  <si>
    <t>Bk</t>
  </si>
  <si>
    <t>Dy</t>
  </si>
  <si>
    <t>Cf</t>
  </si>
  <si>
    <t>Ho</t>
  </si>
  <si>
    <t>Es</t>
  </si>
  <si>
    <t>Er</t>
  </si>
  <si>
    <t>Fm</t>
  </si>
  <si>
    <t>Tm</t>
  </si>
  <si>
    <t>Md</t>
  </si>
  <si>
    <r>
      <t>SO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 xml:space="preserve"> </t>
    </r>
  </si>
  <si>
    <r>
      <t>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0 </t>
    </r>
  </si>
  <si>
    <r>
      <t>HCO</t>
    </r>
    <r>
      <rPr>
        <vertAlign val="subscript"/>
        <sz val="11"/>
        <rFont val="Calibri"/>
      </rPr>
      <t>3</t>
    </r>
    <r>
      <rPr>
        <sz val="11"/>
        <rFont val="Calibri"/>
      </rPr>
      <t xml:space="preserve"> </t>
    </r>
  </si>
  <si>
    <r>
      <t>C</t>
    </r>
    <r>
      <rPr>
        <vertAlign val="subscript"/>
        <sz val="11"/>
        <rFont val="Calibri"/>
        <family val="2"/>
        <charset val="204"/>
      </rPr>
      <t>12</t>
    </r>
    <r>
      <rPr>
        <sz val="11"/>
        <rFont val="Calibri"/>
        <family val="2"/>
        <charset val="204"/>
      </rPr>
      <t>H</t>
    </r>
    <r>
      <rPr>
        <vertAlign val="subscript"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FeO</t>
    </r>
    <r>
      <rPr>
        <vertAlign val="subscript"/>
        <sz val="11"/>
        <rFont val="Calibri"/>
        <family val="2"/>
        <charset val="204"/>
      </rPr>
      <t>14</t>
    </r>
  </si>
  <si>
    <r>
      <t>SO</t>
    </r>
    <r>
      <rPr>
        <vertAlign val="subscript"/>
        <sz val="11"/>
        <color indexed="8"/>
        <rFont val="Calibri"/>
        <family val="2"/>
        <charset val="204"/>
      </rPr>
      <t>4</t>
    </r>
  </si>
  <si>
    <t>KI</t>
  </si>
  <si>
    <r>
      <t>H</t>
    </r>
    <r>
      <rPr>
        <b/>
        <vertAlign val="subscript"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O</t>
    </r>
  </si>
  <si>
    <t>Контроль</t>
  </si>
  <si>
    <r>
      <t>HCO</t>
    </r>
    <r>
      <rPr>
        <b/>
        <vertAlign val="subscript"/>
        <sz val="11"/>
        <color indexed="8"/>
        <rFont val="Calibri"/>
        <family val="2"/>
        <charset val="204"/>
      </rPr>
      <t>3</t>
    </r>
  </si>
  <si>
    <r>
      <t>MgCI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 * 6Н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</si>
  <si>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NaHCO</t>
    </r>
    <r>
      <rPr>
        <b/>
        <vertAlign val="sub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 xml:space="preserve"> </t>
    </r>
  </si>
  <si>
    <r>
      <t>Н</t>
    </r>
    <r>
      <rPr>
        <b/>
        <vertAlign val="sub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>ВО</t>
    </r>
    <r>
      <rPr>
        <b/>
        <vertAlign val="subscript"/>
        <sz val="11"/>
        <rFont val="Calibri"/>
        <family val="2"/>
        <charset val="204"/>
      </rPr>
      <t>3</t>
    </r>
  </si>
  <si>
    <r>
      <t>CaCI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 * 2Н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</si>
  <si>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SrCI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 * 6Н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</si>
  <si>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SO</t>
    </r>
    <r>
      <rPr>
        <vertAlign val="subscript"/>
        <sz val="11"/>
        <rFont val="Calibri"/>
        <family val="2"/>
        <charset val="204"/>
      </rPr>
      <t>4</t>
    </r>
  </si>
  <si>
    <r>
      <t>HCO</t>
    </r>
    <r>
      <rPr>
        <vertAlign val="subscript"/>
        <sz val="11"/>
        <rFont val="Calibri"/>
        <family val="2"/>
        <charset val="204"/>
      </rPr>
      <t>3</t>
    </r>
    <r>
      <rPr>
        <sz val="11"/>
        <rFont val="Calibri"/>
        <family val="2"/>
        <charset val="204"/>
      </rPr>
      <t xml:space="preserve"> </t>
    </r>
  </si>
  <si>
    <t>g/kg</t>
  </si>
  <si>
    <t>0, 411</t>
  </si>
  <si>
    <t>Сколько литров:</t>
  </si>
  <si>
    <t>Округление</t>
  </si>
  <si>
    <t>Растворять отдельно:</t>
  </si>
  <si>
    <t>Микроэлементы, мг:</t>
  </si>
  <si>
    <t>Ni    &lt;</t>
  </si>
  <si>
    <t>Содержание  микроэлементов в морской соли</t>
  </si>
  <si>
    <t>Seachem Reef Salt, ppm</t>
  </si>
  <si>
    <r>
      <t>Na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MoO</t>
    </r>
    <r>
      <rPr>
        <vertAlign val="sub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 xml:space="preserve"> 2H</t>
    </r>
    <r>
      <rPr>
        <vertAlign val="sub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O</t>
    </r>
  </si>
  <si>
    <r>
      <t>FeSO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>*7H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</si>
  <si>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CuSO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>*5H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</si>
  <si>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NiSO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>*5H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</si>
  <si>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ZnSO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 xml:space="preserve"> * 7H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</si>
  <si>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MnSO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 xml:space="preserve"> * 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</si>
  <si>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r>
      <t>Na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MoO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 xml:space="preserve"> 2H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</si>
  <si>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CoSO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 xml:space="preserve"> * 7H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</si>
  <si>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t>Реактив, грамм:</t>
  </si>
  <si>
    <t>Platax</t>
  </si>
  <si>
    <r>
      <t>KF * 2H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</si>
  <si>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t>RbCl</t>
  </si>
  <si>
    <t>LiCl</t>
  </si>
  <si>
    <r>
      <t>Al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(SO4)</t>
    </r>
    <r>
      <rPr>
        <b/>
        <vertAlign val="sub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 xml:space="preserve"> * 18H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</si>
  <si>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CoCl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 * 6H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0 </t>
    </r>
  </si>
  <si>
    <t>KIO3</t>
  </si>
  <si>
    <r>
      <t>FeCl</t>
    </r>
    <r>
      <rPr>
        <b/>
        <vertAlign val="sub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 xml:space="preserve"> *6H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</si>
  <si>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Na</t>
    </r>
    <r>
      <rPr>
        <b/>
        <vertAlign val="subscript"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EDTA</t>
    </r>
  </si>
  <si>
    <r>
      <t>BaCl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 * 2H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</si>
  <si>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CaC</t>
    </r>
    <r>
      <rPr>
        <b/>
        <vertAlign val="subscript"/>
        <sz val="11"/>
        <rFont val="Calibri"/>
        <family val="2"/>
        <charset val="204"/>
      </rPr>
      <t>6</t>
    </r>
    <r>
      <rPr>
        <b/>
        <sz val="11"/>
        <rFont val="Calibri"/>
        <family val="2"/>
        <charset val="204"/>
      </rPr>
      <t>H</t>
    </r>
    <r>
      <rPr>
        <b/>
        <vertAlign val="subscript"/>
        <sz val="11"/>
        <rFont val="Calibri"/>
        <family val="2"/>
        <charset val="204"/>
      </rPr>
      <t>5</t>
    </r>
    <r>
      <rPr>
        <b/>
        <sz val="11"/>
        <rFont val="Calibri"/>
        <family val="2"/>
        <charset val="204"/>
      </rPr>
      <t>O</t>
    </r>
    <r>
      <rPr>
        <b/>
        <vertAlign val="subscript"/>
        <sz val="11"/>
        <rFont val="Calibri"/>
        <family val="2"/>
        <charset val="204"/>
      </rPr>
      <t>7</t>
    </r>
    <r>
      <rPr>
        <b/>
        <sz val="11"/>
        <rFont val="Calibri"/>
        <family val="2"/>
        <charset val="204"/>
      </rPr>
      <t xml:space="preserve"> * 3H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</si>
  <si>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t>Platax (1l)</t>
  </si>
  <si>
    <t>Indian</t>
  </si>
  <si>
    <r>
      <t>SrCO</t>
    </r>
    <r>
      <rPr>
        <b/>
        <vertAlign val="subscript"/>
        <sz val="11"/>
        <rFont val="Calibri"/>
        <family val="2"/>
        <charset val="204"/>
      </rPr>
      <t>3</t>
    </r>
  </si>
  <si>
    <r>
      <t>Na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SiO</t>
    </r>
    <r>
      <rPr>
        <b/>
        <vertAlign val="subscript"/>
        <sz val="11"/>
        <rFont val="Calibri"/>
        <family val="2"/>
        <charset val="204"/>
      </rPr>
      <t>3</t>
    </r>
  </si>
  <si>
    <t>Шубравый</t>
  </si>
  <si>
    <t>Еманов</t>
  </si>
  <si>
    <t>Кочетов</t>
  </si>
  <si>
    <r>
      <t>NaH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P0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 xml:space="preserve"> * 7H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 xml:space="preserve">O </t>
    </r>
  </si>
  <si>
    <r>
      <t>Na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CO</t>
    </r>
    <r>
      <rPr>
        <b/>
        <vertAlign val="subscript"/>
        <sz val="11"/>
        <rFont val="Calibri"/>
        <family val="2"/>
        <charset val="204"/>
      </rPr>
      <t>3</t>
    </r>
  </si>
  <si>
    <t>NSW</t>
  </si>
  <si>
    <t>CO3</t>
  </si>
  <si>
    <t>Millero</t>
  </si>
  <si>
    <t>NaF</t>
  </si>
  <si>
    <t>Segedi-Kelley</t>
  </si>
  <si>
    <t>на 30,24л</t>
  </si>
  <si>
    <t>Bearman</t>
  </si>
  <si>
    <t>Chester</t>
  </si>
  <si>
    <t>Spotte</t>
  </si>
  <si>
    <t>Turekian</t>
  </si>
  <si>
    <t> Ag</t>
  </si>
  <si>
    <t> Al</t>
  </si>
  <si>
    <t> As</t>
  </si>
  <si>
    <t> Au</t>
  </si>
  <si>
    <t> Ba</t>
  </si>
  <si>
    <t> Be</t>
  </si>
  <si>
    <t> Bi</t>
  </si>
  <si>
    <t> Cd</t>
  </si>
  <si>
    <t> Co</t>
  </si>
  <si>
    <t> Cr</t>
  </si>
  <si>
    <t> Cs</t>
  </si>
  <si>
    <t> Cu</t>
  </si>
  <si>
    <t> Fe</t>
  </si>
  <si>
    <t> Ga</t>
  </si>
  <si>
    <t> Ge</t>
  </si>
  <si>
    <t> Hg</t>
  </si>
  <si>
    <t> In</t>
  </si>
  <si>
    <t> Li</t>
  </si>
  <si>
    <t> Mn</t>
  </si>
  <si>
    <t> Mo</t>
  </si>
  <si>
    <t> N</t>
  </si>
  <si>
    <t> Nb</t>
  </si>
  <si>
    <t> Ni</t>
  </si>
  <si>
    <t> P</t>
  </si>
  <si>
    <t> Pb</t>
  </si>
  <si>
    <t> Rb</t>
  </si>
  <si>
    <t> Sb</t>
  </si>
  <si>
    <t> Se</t>
  </si>
  <si>
    <t> Si</t>
  </si>
  <si>
    <t> Sn</t>
  </si>
  <si>
    <t> Sr</t>
  </si>
  <si>
    <t> Ti</t>
  </si>
  <si>
    <t> V</t>
  </si>
  <si>
    <t> W</t>
  </si>
  <si>
    <t>&lt;0.000001</t>
  </si>
  <si>
    <t> Y</t>
  </si>
  <si>
    <t> Zn</t>
  </si>
  <si>
    <t> Zr</t>
  </si>
  <si>
    <t>Anthoni</t>
  </si>
  <si>
    <t>Hauter</t>
  </si>
  <si>
    <r>
      <t>Н</t>
    </r>
    <r>
      <rPr>
        <vertAlign val="subscript"/>
        <sz val="11"/>
        <rFont val="Calibri"/>
        <family val="2"/>
        <charset val="204"/>
      </rPr>
      <t>3</t>
    </r>
    <r>
      <rPr>
        <sz val="10"/>
        <rFont val="Times New Roman"/>
        <family val="1"/>
        <charset val="204"/>
      </rPr>
      <t>ВО</t>
    </r>
    <r>
      <rPr>
        <vertAlign val="subscript"/>
        <sz val="11"/>
        <rFont val="Calibri"/>
        <family val="2"/>
        <charset val="204"/>
      </rPr>
      <t>3</t>
    </r>
  </si>
  <si>
    <t>Ион</t>
  </si>
  <si>
    <t>Среднее</t>
  </si>
  <si>
    <t>SeaChem</t>
  </si>
  <si>
    <t>Salinity</t>
  </si>
  <si>
    <t>(ppt)</t>
  </si>
  <si>
    <t>Cl-</t>
  </si>
  <si>
    <t>SO4-</t>
  </si>
  <si>
    <t>BO3</t>
  </si>
  <si>
    <t>HCO3-</t>
  </si>
  <si>
    <t>Seawater</t>
  </si>
  <si>
    <t>Instant Ocean</t>
  </si>
  <si>
    <t>Tropic Marin</t>
  </si>
  <si>
    <t>HW Marine Mix</t>
  </si>
  <si>
    <t>Reef Crystals</t>
  </si>
  <si>
    <t>Red Sea Salt</t>
  </si>
  <si>
    <t>Kent</t>
  </si>
  <si>
    <t>32.06(S)</t>
  </si>
  <si>
    <t>Coralife</t>
  </si>
  <si>
    <t>10.81(B)</t>
  </si>
  <si>
    <t>12.011(C)</t>
  </si>
  <si>
    <t>all measured in millimoles per kilogram</t>
  </si>
  <si>
    <t>To convert from millimolar to ppm, multiply the concentration in millimolar by the atomic mass. For example: The concentration of calcium in seawater is 10.3 milligrams per killigram. Ca++ is 10.3(40.08) = 413 ppm.</t>
  </si>
  <si>
    <t>Molar Mass (grams per mole)</t>
  </si>
  <si>
    <t>K2SO4</t>
  </si>
  <si>
    <r>
      <t>CO</t>
    </r>
    <r>
      <rPr>
        <vertAlign val="subscript"/>
        <sz val="11"/>
        <rFont val="Calibri"/>
      </rPr>
      <t>3</t>
    </r>
    <r>
      <rPr>
        <sz val="11"/>
        <rFont val="Calibri"/>
      </rPr>
      <t xml:space="preserve"> </t>
    </r>
  </si>
  <si>
    <t>SiO3</t>
  </si>
  <si>
    <t xml:space="preserve">MgCI2 * 6Н20 </t>
  </si>
  <si>
    <r>
      <t>K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SO</t>
    </r>
    <r>
      <rPr>
        <b/>
        <vertAlign val="subscript"/>
        <sz val="11"/>
        <rFont val="Calibri"/>
        <family val="2"/>
        <charset val="204"/>
      </rPr>
      <t>4</t>
    </r>
  </si>
  <si>
    <r>
      <t>Na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 xml:space="preserve"> * 10H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</si>
  <si>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CO</t>
    </r>
    <r>
      <rPr>
        <b/>
        <vertAlign val="subscript"/>
        <sz val="11"/>
        <color indexed="8"/>
        <rFont val="Calibri"/>
        <family val="2"/>
        <charset val="204"/>
      </rPr>
      <t>3</t>
    </r>
  </si>
  <si>
    <t xml:space="preserve">CaCI2 * 2Н20 </t>
  </si>
  <si>
    <t xml:space="preserve">SrCI2 * 6Н20 </t>
  </si>
  <si>
    <t xml:space="preserve">NaHCO3 </t>
  </si>
  <si>
    <t>Na2SO4 *10H2O</t>
  </si>
  <si>
    <t>McClendon</t>
  </si>
  <si>
    <t>Brujewicz</t>
  </si>
  <si>
    <t>Lyman</t>
  </si>
  <si>
    <r>
      <t>MgCI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/>
    </r>
  </si>
  <si>
    <r>
      <t>MgSO</t>
    </r>
    <r>
      <rPr>
        <b/>
        <vertAlign val="subscript"/>
        <sz val="11"/>
        <rFont val="Calibri"/>
        <family val="2"/>
        <charset val="204"/>
      </rPr>
      <t>4</t>
    </r>
  </si>
  <si>
    <r>
      <t>Na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SO</t>
    </r>
    <r>
      <rPr>
        <b/>
        <vertAlign val="subscript"/>
        <sz val="11"/>
        <rFont val="Calibri"/>
        <family val="2"/>
        <charset val="204"/>
      </rPr>
      <t>4</t>
    </r>
  </si>
  <si>
    <t>SO4</t>
  </si>
  <si>
    <t>HCO3</t>
  </si>
  <si>
    <t>H3BO3</t>
  </si>
  <si>
    <t>MgSO4*7H2O</t>
  </si>
  <si>
    <t>Na2SO4 * 10H2O</t>
  </si>
  <si>
    <t>Segedi-
Kelley</t>
  </si>
  <si>
    <r>
      <t xml:space="preserve">Vahe
</t>
    </r>
    <r>
      <rPr>
        <b/>
        <sz val="11"/>
        <color indexed="8"/>
        <rFont val="Calibri"/>
        <family val="2"/>
        <charset val="204"/>
      </rPr>
      <t>Na</t>
    </r>
    <r>
      <rPr>
        <b/>
        <vertAlign val="subscript"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SO</t>
    </r>
    <r>
      <rPr>
        <b/>
        <vertAlign val="subscript"/>
        <sz val="11"/>
        <color indexed="8"/>
        <rFont val="Calibri"/>
        <family val="2"/>
        <charset val="204"/>
      </rPr>
      <t>4</t>
    </r>
  </si>
  <si>
    <r>
      <t xml:space="preserve">Indian
</t>
    </r>
    <r>
      <rPr>
        <b/>
        <u/>
        <sz val="10"/>
        <color indexed="12"/>
        <rFont val="Arial Cyr"/>
        <charset val="204"/>
      </rPr>
      <t>Na</t>
    </r>
    <r>
      <rPr>
        <b/>
        <u/>
        <vertAlign val="subscript"/>
        <sz val="10"/>
        <color indexed="12"/>
        <rFont val="Arial Cyr"/>
        <charset val="204"/>
      </rPr>
      <t>2</t>
    </r>
    <r>
      <rPr>
        <b/>
        <u/>
        <sz val="10"/>
        <color indexed="12"/>
        <rFont val="Arial Cyr"/>
        <charset val="204"/>
      </rPr>
      <t>SO</t>
    </r>
    <r>
      <rPr>
        <b/>
        <u/>
        <vertAlign val="subscript"/>
        <sz val="10"/>
        <color indexed="12"/>
        <rFont val="Arial Cyr"/>
        <charset val="204"/>
      </rPr>
      <t>4</t>
    </r>
  </si>
  <si>
    <r>
      <t>Vahe</t>
    </r>
    <r>
      <rPr>
        <b/>
        <sz val="11"/>
        <color indexed="8"/>
        <rFont val="Calibri"/>
        <family val="2"/>
        <charset val="204"/>
      </rPr>
      <t/>
    </r>
  </si>
  <si>
    <t>г/л</t>
  </si>
  <si>
    <t>Р-римость</t>
  </si>
  <si>
    <t>hw-Marinemix</t>
  </si>
  <si>
    <t>A</t>
  </si>
  <si>
    <t>MgSO4</t>
  </si>
  <si>
    <t>MgCl2</t>
  </si>
  <si>
    <t>CaCl2</t>
  </si>
  <si>
    <t>NaHCO3</t>
  </si>
  <si>
    <t>l=20l</t>
  </si>
  <si>
    <t>Kelley %</t>
  </si>
  <si>
    <r>
      <t>Na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S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  <r>
      <rPr>
        <b/>
        <vertAlign val="subscript"/>
        <sz val="11"/>
        <rFont val="Calibri"/>
        <family val="2"/>
        <charset val="204"/>
      </rPr>
      <t>3</t>
    </r>
    <r>
      <rPr>
        <b/>
        <sz val="11"/>
        <rFont val="Calibri"/>
        <family val="2"/>
        <charset val="204"/>
      </rPr>
      <t xml:space="preserve"> * 5H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</si>
  <si>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MgSO</t>
    </r>
    <r>
      <rPr>
        <b/>
        <vertAlign val="subscript"/>
        <sz val="11"/>
        <rFont val="Calibri"/>
        <family val="2"/>
        <charset val="204"/>
      </rPr>
      <t>4</t>
    </r>
    <r>
      <rPr>
        <b/>
        <sz val="11"/>
        <rFont val="Calibri"/>
        <family val="2"/>
        <charset val="204"/>
      </rPr>
      <t>*7H</t>
    </r>
    <r>
      <rPr>
        <b/>
        <vertAlign val="sub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O</t>
    </r>
  </si>
  <si>
    <r>
      <t>KIO</t>
    </r>
    <r>
      <rPr>
        <b/>
        <vertAlign val="subscript"/>
        <sz val="11"/>
        <rFont val="Calibri"/>
        <family val="2"/>
        <charset val="204"/>
      </rPr>
      <t>3</t>
    </r>
  </si>
  <si>
    <r>
      <t>Millero
Na</t>
    </r>
    <r>
      <rPr>
        <u/>
        <vertAlign val="subscript"/>
        <sz val="10"/>
        <color indexed="12"/>
        <rFont val="Arial Cyr"/>
        <charset val="204"/>
      </rPr>
      <t>2</t>
    </r>
    <r>
      <rPr>
        <u/>
        <sz val="10"/>
        <color indexed="12"/>
        <rFont val="Arial Cyr"/>
        <charset val="204"/>
      </rPr>
      <t>SO</t>
    </r>
    <r>
      <rPr>
        <u/>
        <vertAlign val="subscript"/>
        <sz val="10"/>
        <color indexed="12"/>
        <rFont val="Arial Cyr"/>
        <charset val="204"/>
      </rPr>
      <t>4</t>
    </r>
  </si>
  <si>
    <r>
      <t>MgSO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 xml:space="preserve"> * 7H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</si>
  <si>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NaHCO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</si>
  <si>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r>
      <t>H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BO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</si>
  <si>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Рецепт из 2 растворов (на 20л)
А</t>
  </si>
  <si>
    <r>
      <t>MgCl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* 6H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</si>
  <si>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CaCl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* 2H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</si>
  <si>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SrCl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* 6H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</si>
  <si>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#1</t>
  </si>
  <si>
    <t>#2</t>
  </si>
  <si>
    <t>#3</t>
  </si>
  <si>
    <t>литров</t>
  </si>
  <si>
    <t>Mg+</t>
  </si>
  <si>
    <t>увеличить на:</t>
  </si>
  <si>
    <t>мг/л</t>
  </si>
  <si>
    <t>г. Магния</t>
  </si>
  <si>
    <t>+</t>
  </si>
  <si>
    <r>
      <t>3Na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CO</t>
    </r>
    <r>
      <rPr>
        <b/>
        <vertAlign val="subscript"/>
        <sz val="11"/>
        <color theme="1"/>
        <rFont val="Times New Roman"/>
        <family val="1"/>
        <charset val="204"/>
      </rPr>
      <t>3</t>
    </r>
  </si>
  <si>
    <r>
      <t>H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O</t>
    </r>
  </si>
  <si>
    <t>=</t>
  </si>
  <si>
    <r>
      <t>2FeO(OH)</t>
    </r>
    <r>
      <rPr>
        <sz val="11"/>
        <color theme="1"/>
        <rFont val="Times New Roman"/>
        <family val="1"/>
        <charset val="204"/>
      </rPr>
      <t>↓</t>
    </r>
  </si>
  <si>
    <r>
      <t>3CO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↑</t>
    </r>
  </si>
  <si>
    <t xml:space="preserve">6NaCl </t>
  </si>
  <si>
    <t>Растворимость</t>
  </si>
  <si>
    <t>Рецепт:</t>
  </si>
  <si>
    <t>г</t>
  </si>
  <si>
    <t>л</t>
  </si>
  <si>
    <t>Вода</t>
  </si>
  <si>
    <r>
      <t>FeCl</t>
    </r>
    <r>
      <rPr>
        <b/>
        <vertAlign val="subscript"/>
        <sz val="11"/>
        <color theme="1"/>
        <rFont val="Times New Roman"/>
        <family val="1"/>
        <charset val="204"/>
      </rPr>
      <t>3</t>
    </r>
  </si>
  <si>
    <r>
      <t>Na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CO</t>
    </r>
    <r>
      <rPr>
        <b/>
        <vertAlign val="subscript"/>
        <sz val="11"/>
        <color theme="1"/>
        <rFont val="Times New Roman"/>
        <family val="1"/>
        <charset val="204"/>
      </rPr>
      <t>3</t>
    </r>
  </si>
  <si>
    <t>около 100г FeO(OH)</t>
  </si>
  <si>
    <r>
      <t>SiO</t>
    </r>
    <r>
      <rPr>
        <vertAlign val="subscript"/>
        <sz val="11"/>
        <rFont val="Calibri"/>
        <family val="2"/>
        <charset val="204"/>
      </rPr>
      <t>3</t>
    </r>
  </si>
  <si>
    <r>
      <t>NO</t>
    </r>
    <r>
      <rPr>
        <vertAlign val="subscript"/>
        <sz val="11"/>
        <rFont val="Calibri"/>
        <family val="2"/>
        <charset val="204"/>
      </rPr>
      <t>3</t>
    </r>
  </si>
  <si>
    <t>Corrected</t>
  </si>
  <si>
    <r>
      <t>2FeCl</t>
    </r>
    <r>
      <rPr>
        <b/>
        <vertAlign val="sub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*6H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</si>
</sst>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00_р_._-;\-* #,##0.0000_р_._-;_-* &quot;-&quot;??_р_._-;_-@_-"/>
    <numFmt numFmtId="165" formatCode="#,##0.000"/>
    <numFmt numFmtId="166" formatCode="0.000"/>
    <numFmt numFmtId="167" formatCode="0.0"/>
    <numFmt numFmtId="168" formatCode="0.00000"/>
    <numFmt numFmtId="169" formatCode="0.0000"/>
    <numFmt numFmtId="170" formatCode="0.000000"/>
    <numFmt numFmtId="171" formatCode="0.0%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Verdana"/>
      <family val="2"/>
      <charset val="204"/>
    </font>
    <font>
      <b/>
      <sz val="18"/>
      <name val="Verdana"/>
      <family val="2"/>
      <charset val="204"/>
    </font>
    <font>
      <b/>
      <sz val="18"/>
      <name val="Book Antiqua"/>
      <family val="1"/>
    </font>
    <font>
      <b/>
      <sz val="20"/>
      <name val="Book Antiqua"/>
      <family val="1"/>
    </font>
    <font>
      <b/>
      <sz val="18"/>
      <name val="Tahoma"/>
      <family val="2"/>
      <charset val="204"/>
    </font>
    <font>
      <b/>
      <vertAlign val="superscript"/>
      <sz val="14"/>
      <color indexed="8"/>
      <name val="Arial Cyr"/>
      <family val="2"/>
      <charset val="204"/>
    </font>
    <font>
      <b/>
      <vertAlign val="superscript"/>
      <sz val="16"/>
      <color indexed="8"/>
      <name val="Arial Cyr"/>
      <family val="2"/>
      <charset val="204"/>
    </font>
    <font>
      <sz val="20"/>
      <name val="Arial Cyr"/>
      <family val="2"/>
      <charset val="204"/>
    </font>
    <font>
      <b/>
      <sz val="20"/>
      <name val="Arial Cyr"/>
      <family val="2"/>
      <charset val="204"/>
    </font>
    <font>
      <b/>
      <vertAlign val="superscript"/>
      <sz val="14"/>
      <name val="Arial Cyr"/>
      <family val="2"/>
      <charset val="204"/>
    </font>
    <font>
      <u/>
      <sz val="10"/>
      <color indexed="12"/>
      <name val="Arial Cyr"/>
      <charset val="204"/>
    </font>
    <font>
      <b/>
      <sz val="22"/>
      <name val="Arial Cyr"/>
      <family val="2"/>
      <charset val="204"/>
    </font>
    <font>
      <vertAlign val="subscript"/>
      <sz val="10"/>
      <name val="Arial Cyr"/>
      <family val="2"/>
      <charset val="204"/>
    </font>
    <font>
      <vertAlign val="subscript"/>
      <sz val="12"/>
      <name val="Arial Cyr"/>
      <family val="2"/>
      <charset val="204"/>
    </font>
    <font>
      <b/>
      <vertAlign val="superscript"/>
      <sz val="36"/>
      <name val="Book Antiqua"/>
      <family val="1"/>
    </font>
    <font>
      <b/>
      <vertAlign val="superscript"/>
      <sz val="16"/>
      <name val="Verdana"/>
      <family val="2"/>
      <charset val="204"/>
    </font>
    <font>
      <b/>
      <vertAlign val="subscript"/>
      <sz val="20"/>
      <name val="Arial Cyr"/>
      <family val="2"/>
      <charset val="204"/>
    </font>
    <font>
      <sz val="10"/>
      <name val="Arial Cyr"/>
      <charset val="204"/>
    </font>
    <font>
      <b/>
      <vertAlign val="subscript"/>
      <sz val="14"/>
      <name val="Verdana"/>
      <family val="2"/>
      <charset val="204"/>
    </font>
    <font>
      <b/>
      <sz val="14"/>
      <name val="Verdana"/>
      <family val="2"/>
      <charset val="204"/>
    </font>
    <font>
      <b/>
      <vertAlign val="superscript"/>
      <sz val="20"/>
      <name val="Arial Cyr"/>
      <family val="2"/>
      <charset val="204"/>
    </font>
    <font>
      <b/>
      <sz val="10"/>
      <name val="Arial Cyr"/>
      <family val="2"/>
      <charset val="204"/>
    </font>
    <font>
      <b/>
      <vertAlign val="superscript"/>
      <sz val="16"/>
      <name val="Arial Cyr"/>
      <family val="2"/>
      <charset val="204"/>
    </font>
    <font>
      <vertAlign val="sub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color indexed="81"/>
      <name val="Tahoma"/>
      <family val="2"/>
    </font>
    <font>
      <sz val="8"/>
      <color indexed="81"/>
      <name val="Tahoma"/>
      <charset val="204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vertAlign val="superscript"/>
      <sz val="8"/>
      <color indexed="81"/>
      <name val="Tahoma"/>
      <family val="2"/>
    </font>
    <font>
      <b/>
      <sz val="8"/>
      <color indexed="81"/>
      <name val="Tahoma"/>
      <charset val="204"/>
    </font>
    <font>
      <b/>
      <vertAlign val="superscript"/>
      <sz val="28"/>
      <name val="Arial Cyr"/>
      <family val="2"/>
      <charset val="204"/>
    </font>
    <font>
      <b/>
      <sz val="18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16"/>
      <name val="Arial Cyr"/>
      <family val="2"/>
      <charset val="204"/>
    </font>
    <font>
      <vertAlign val="superscript"/>
      <sz val="20"/>
      <name val="Arial Cyr"/>
      <family val="2"/>
      <charset val="204"/>
    </font>
    <font>
      <b/>
      <sz val="28"/>
      <name val="Arial Cyr"/>
      <family val="2"/>
      <charset val="204"/>
    </font>
    <font>
      <b/>
      <vertAlign val="superscript"/>
      <sz val="18"/>
      <name val="Arial Cyr"/>
      <family val="2"/>
      <charset val="204"/>
    </font>
    <font>
      <b/>
      <vertAlign val="subscript"/>
      <sz val="16"/>
      <name val="Arial Cyr"/>
      <family val="2"/>
      <charset val="204"/>
    </font>
    <font>
      <sz val="11"/>
      <name val="Calibri"/>
    </font>
    <font>
      <vertAlign val="subscript"/>
      <sz val="11"/>
      <name val="Calibri"/>
    </font>
    <font>
      <b/>
      <vertAlign val="superscript"/>
      <sz val="36"/>
      <color indexed="8"/>
      <name val="Arial Cyr"/>
      <family val="2"/>
      <charset val="204"/>
    </font>
    <font>
      <b/>
      <sz val="10"/>
      <name val="Arial Cyr"/>
    </font>
    <font>
      <b/>
      <sz val="11"/>
      <color indexed="8"/>
      <name val="Calibri"/>
      <family val="2"/>
      <charset val="204"/>
    </font>
    <font>
      <b/>
      <sz val="22"/>
      <name val="Arial Cyr"/>
    </font>
    <font>
      <b/>
      <vertAlign val="superscript"/>
      <sz val="32"/>
      <color indexed="8"/>
      <name val="Arial Cyr"/>
      <family val="2"/>
      <charset val="204"/>
    </font>
    <font>
      <b/>
      <vertAlign val="superscript"/>
      <sz val="32"/>
      <name val="Arial Cyr"/>
      <family val="2"/>
      <charset val="204"/>
    </font>
    <font>
      <sz val="11"/>
      <name val="Calibri"/>
      <family val="2"/>
      <charset val="204"/>
    </font>
    <font>
      <vertAlign val="subscript"/>
      <sz val="11"/>
      <name val="Calibri"/>
      <family val="2"/>
      <charset val="204"/>
    </font>
    <font>
      <b/>
      <vertAlign val="superscript"/>
      <sz val="32"/>
      <name val="Arial Cyr"/>
    </font>
    <font>
      <b/>
      <vertAlign val="subscript"/>
      <sz val="14"/>
      <name val="Arial Cyr"/>
      <family val="2"/>
      <charset val="204"/>
    </font>
    <font>
      <vertAlign val="subscript"/>
      <sz val="11"/>
      <color indexed="8"/>
      <name val="Calibri"/>
      <family val="2"/>
      <charset val="204"/>
    </font>
    <font>
      <b/>
      <vertAlign val="subscript"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vertAlign val="subscript"/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</font>
    <font>
      <b/>
      <sz val="28"/>
      <color indexed="10"/>
      <name val="Arial Cyr"/>
      <family val="2"/>
      <charset val="204"/>
    </font>
    <font>
      <b/>
      <sz val="28"/>
      <color indexed="51"/>
      <name val="Arial Cyr"/>
      <family val="2"/>
      <charset val="204"/>
    </font>
    <font>
      <b/>
      <sz val="28"/>
      <color indexed="11"/>
      <name val="Arial Cyr"/>
      <family val="2"/>
      <charset val="204"/>
    </font>
    <font>
      <b/>
      <sz val="28"/>
      <color indexed="4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30"/>
      <name val="Calibri"/>
      <family val="2"/>
      <charset val="204"/>
    </font>
    <font>
      <u/>
      <sz val="11"/>
      <color indexed="12"/>
      <name val="Arial Cyr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32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indexed="8"/>
      <name val="Calibri"/>
      <family val="2"/>
    </font>
    <font>
      <sz val="8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12"/>
      <name val="Arial Cyr"/>
      <charset val="204"/>
    </font>
    <font>
      <b/>
      <u/>
      <vertAlign val="subscript"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u/>
      <vertAlign val="subscript"/>
      <sz val="10"/>
      <color indexed="12"/>
      <name val="Arial Cyr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6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2" borderId="0" xfId="0" applyFill="1" applyBorder="1" applyAlignment="1">
      <alignment horizontal="center"/>
    </xf>
    <xf numFmtId="0" fontId="11" fillId="3" borderId="1" xfId="0" applyFont="1" applyFill="1" applyBorder="1"/>
    <xf numFmtId="0" fontId="11" fillId="4" borderId="2" xfId="0" applyFont="1" applyFill="1" applyBorder="1"/>
    <xf numFmtId="0" fontId="11" fillId="3" borderId="3" xfId="0" applyFont="1" applyFill="1" applyBorder="1"/>
    <xf numFmtId="0" fontId="24" fillId="5" borderId="4" xfId="0" applyFont="1" applyFill="1" applyBorder="1"/>
    <xf numFmtId="0" fontId="26" fillId="5" borderId="5" xfId="0" applyFont="1" applyFill="1" applyBorder="1"/>
    <xf numFmtId="0" fontId="24" fillId="5" borderId="6" xfId="0" applyFont="1" applyFill="1" applyBorder="1" applyAlignment="1">
      <alignment horizontal="left"/>
    </xf>
    <xf numFmtId="0" fontId="23" fillId="5" borderId="5" xfId="0" applyFont="1" applyFill="1" applyBorder="1" applyAlignment="1">
      <alignment horizontal="left"/>
    </xf>
    <xf numFmtId="0" fontId="37" fillId="0" borderId="7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62" fillId="0" borderId="8" xfId="0" applyFont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1" fillId="0" borderId="9" xfId="0" applyFont="1" applyBorder="1" applyAlignment="1">
      <alignment horizontal="center"/>
    </xf>
    <xf numFmtId="0" fontId="64" fillId="0" borderId="8" xfId="0" applyFont="1" applyBorder="1" applyAlignment="1">
      <alignment horizontal="center"/>
    </xf>
    <xf numFmtId="0" fontId="63" fillId="0" borderId="9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63" fillId="0" borderId="17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Border="1"/>
    <xf numFmtId="0" fontId="8" fillId="3" borderId="2" xfId="0" applyFont="1" applyFill="1" applyBorder="1" applyAlignment="1">
      <alignment horizontal="left"/>
    </xf>
    <xf numFmtId="2" fontId="11" fillId="3" borderId="1" xfId="0" applyNumberFormat="1" applyFont="1" applyFill="1" applyBorder="1"/>
    <xf numFmtId="165" fontId="7" fillId="3" borderId="1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horizontal="left"/>
    </xf>
    <xf numFmtId="0" fontId="11" fillId="4" borderId="1" xfId="0" applyFont="1" applyFill="1" applyBorder="1"/>
    <xf numFmtId="0" fontId="12" fillId="4" borderId="18" xfId="2" applyFill="1" applyBorder="1" applyAlignment="1" applyProtection="1"/>
    <xf numFmtId="0" fontId="11" fillId="4" borderId="1" xfId="0" applyFont="1" applyFill="1" applyBorder="1" applyAlignment="1">
      <alignment horizontal="left"/>
    </xf>
    <xf numFmtId="0" fontId="45" fillId="4" borderId="19" xfId="2" applyFont="1" applyFill="1" applyBorder="1" applyAlignment="1" applyProtection="1"/>
    <xf numFmtId="0" fontId="11" fillId="3" borderId="2" xfId="0" applyFont="1" applyFill="1" applyBorder="1"/>
    <xf numFmtId="0" fontId="7" fillId="4" borderId="1" xfId="0" applyFont="1" applyFill="1" applyBorder="1"/>
    <xf numFmtId="0" fontId="11" fillId="3" borderId="2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vertical="center"/>
    </xf>
    <xf numFmtId="0" fontId="50" fillId="0" borderId="3" xfId="0" applyFont="1" applyBorder="1"/>
    <xf numFmtId="0" fontId="24" fillId="5" borderId="3" xfId="0" applyFont="1" applyFill="1" applyBorder="1" applyAlignment="1">
      <alignment horizontal="left"/>
    </xf>
    <xf numFmtId="0" fontId="0" fillId="0" borderId="0" xfId="0" applyBorder="1"/>
    <xf numFmtId="0" fontId="24" fillId="5" borderId="1" xfId="0" applyFont="1" applyFill="1" applyBorder="1"/>
    <xf numFmtId="166" fontId="11" fillId="3" borderId="1" xfId="0" applyNumberFormat="1" applyFont="1" applyFill="1" applyBorder="1"/>
    <xf numFmtId="1" fontId="11" fillId="3" borderId="1" xfId="0" applyNumberFormat="1" applyFont="1" applyFill="1" applyBorder="1"/>
    <xf numFmtId="2" fontId="11" fillId="4" borderId="1" xfId="0" applyNumberFormat="1" applyFont="1" applyFill="1" applyBorder="1"/>
    <xf numFmtId="167" fontId="11" fillId="4" borderId="1" xfId="0" applyNumberFormat="1" applyFont="1" applyFill="1" applyBorder="1"/>
    <xf numFmtId="2" fontId="11" fillId="3" borderId="0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65" fillId="6" borderId="0" xfId="0" applyFont="1" applyFill="1"/>
    <xf numFmtId="0" fontId="11" fillId="6" borderId="1" xfId="0" applyFont="1" applyFill="1" applyBorder="1"/>
    <xf numFmtId="0" fontId="24" fillId="3" borderId="2" xfId="0" applyFont="1" applyFill="1" applyBorder="1"/>
    <xf numFmtId="0" fontId="24" fillId="6" borderId="2" xfId="0" applyFont="1" applyFill="1" applyBorder="1"/>
    <xf numFmtId="0" fontId="24" fillId="4" borderId="2" xfId="0" applyFont="1" applyFill="1" applyBorder="1"/>
    <xf numFmtId="0" fontId="26" fillId="5" borderId="19" xfId="0" applyFont="1" applyFill="1" applyBorder="1"/>
    <xf numFmtId="0" fontId="23" fillId="5" borderId="19" xfId="0" applyFont="1" applyFill="1" applyBorder="1" applyAlignment="1">
      <alignment horizontal="left"/>
    </xf>
    <xf numFmtId="0" fontId="23" fillId="5" borderId="5" xfId="0" applyFont="1" applyFill="1" applyBorder="1" applyAlignment="1"/>
    <xf numFmtId="0" fontId="23" fillId="5" borderId="19" xfId="0" applyFont="1" applyFill="1" applyBorder="1" applyAlignment="1"/>
    <xf numFmtId="0" fontId="26" fillId="5" borderId="18" xfId="0" applyFont="1" applyFill="1" applyBorder="1"/>
    <xf numFmtId="0" fontId="23" fillId="5" borderId="18" xfId="0" applyFont="1" applyFill="1" applyBorder="1" applyAlignment="1"/>
    <xf numFmtId="0" fontId="49" fillId="4" borderId="20" xfId="0" applyFont="1" applyFill="1" applyBorder="1" applyAlignment="1">
      <alignment vertical="top"/>
    </xf>
    <xf numFmtId="0" fontId="49" fillId="4" borderId="21" xfId="0" applyFont="1" applyFill="1" applyBorder="1" applyAlignment="1">
      <alignment vertical="top"/>
    </xf>
    <xf numFmtId="0" fontId="45" fillId="4" borderId="18" xfId="2" applyFont="1" applyFill="1" applyBorder="1" applyAlignment="1" applyProtection="1"/>
    <xf numFmtId="0" fontId="11" fillId="4" borderId="2" xfId="0" applyFont="1" applyFill="1" applyBorder="1" applyAlignment="1">
      <alignment horizontal="left"/>
    </xf>
    <xf numFmtId="0" fontId="15" fillId="4" borderId="19" xfId="0" applyFont="1" applyFill="1" applyBorder="1"/>
    <xf numFmtId="0" fontId="24" fillId="5" borderId="2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right"/>
    </xf>
    <xf numFmtId="0" fontId="24" fillId="5" borderId="1" xfId="0" applyFont="1" applyFill="1" applyBorder="1" applyAlignment="1">
      <alignment horizontal="right"/>
    </xf>
    <xf numFmtId="10" fontId="0" fillId="0" borderId="0" xfId="0" applyNumberFormat="1" applyAlignment="1">
      <alignment horizontal="center"/>
    </xf>
    <xf numFmtId="0" fontId="65" fillId="0" borderId="0" xfId="0" applyFont="1" applyAlignment="1">
      <alignment horizontal="right"/>
    </xf>
    <xf numFmtId="0" fontId="66" fillId="0" borderId="0" xfId="0" applyFont="1"/>
    <xf numFmtId="0" fontId="66" fillId="0" borderId="0" xfId="0" applyFont="1" applyAlignment="1">
      <alignment horizontal="center"/>
    </xf>
    <xf numFmtId="0" fontId="50" fillId="0" borderId="0" xfId="0" applyFont="1"/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5" fillId="4" borderId="22" xfId="0" applyFont="1" applyFill="1" applyBorder="1"/>
    <xf numFmtId="0" fontId="68" fillId="0" borderId="0" xfId="0" applyFont="1" applyAlignment="1">
      <alignment horizontal="center"/>
    </xf>
    <xf numFmtId="0" fontId="56" fillId="0" borderId="23" xfId="0" applyFont="1" applyBorder="1"/>
    <xf numFmtId="0" fontId="69" fillId="6" borderId="0" xfId="0" applyFont="1" applyFill="1"/>
    <xf numFmtId="10" fontId="0" fillId="6" borderId="0" xfId="0" applyNumberFormat="1" applyFill="1"/>
    <xf numFmtId="0" fontId="65" fillId="0" borderId="24" xfId="0" applyFont="1" applyFill="1" applyBorder="1"/>
    <xf numFmtId="0" fontId="0" fillId="7" borderId="0" xfId="0" applyFill="1"/>
    <xf numFmtId="0" fontId="42" fillId="5" borderId="3" xfId="0" applyFont="1" applyFill="1" applyBorder="1"/>
    <xf numFmtId="4" fontId="0" fillId="5" borderId="0" xfId="0" applyNumberFormat="1" applyFill="1"/>
    <xf numFmtId="0" fontId="0" fillId="5" borderId="0" xfId="0" applyFill="1"/>
    <xf numFmtId="0" fontId="50" fillId="5" borderId="3" xfId="0" applyFont="1" applyFill="1" applyBorder="1"/>
    <xf numFmtId="2" fontId="0" fillId="5" borderId="0" xfId="0" applyNumberFormat="1" applyFill="1"/>
    <xf numFmtId="0" fontId="66" fillId="0" borderId="0" xfId="0" applyFont="1" applyFill="1"/>
    <xf numFmtId="4" fontId="0" fillId="0" borderId="0" xfId="0" applyNumberFormat="1" applyFill="1"/>
    <xf numFmtId="2" fontId="0" fillId="0" borderId="0" xfId="0" applyNumberFormat="1" applyFill="1"/>
    <xf numFmtId="0" fontId="50" fillId="0" borderId="3" xfId="0" applyFont="1" applyFill="1" applyBorder="1"/>
    <xf numFmtId="0" fontId="50" fillId="0" borderId="0" xfId="0" applyFont="1" applyFill="1" applyBorder="1"/>
    <xf numFmtId="167" fontId="56" fillId="0" borderId="25" xfId="0" applyNumberFormat="1" applyFont="1" applyBorder="1"/>
    <xf numFmtId="0" fontId="56" fillId="0" borderId="26" xfId="0" applyFont="1" applyBorder="1"/>
    <xf numFmtId="167" fontId="56" fillId="0" borderId="27" xfId="0" applyNumberFormat="1" applyFont="1" applyBorder="1"/>
    <xf numFmtId="2" fontId="0" fillId="0" borderId="23" xfId="0" applyNumberFormat="1" applyBorder="1"/>
    <xf numFmtId="2" fontId="56" fillId="0" borderId="25" xfId="0" applyNumberFormat="1" applyFont="1" applyBorder="1"/>
    <xf numFmtId="166" fontId="56" fillId="0" borderId="25" xfId="0" applyNumberFormat="1" applyFont="1" applyBorder="1"/>
    <xf numFmtId="169" fontId="56" fillId="0" borderId="25" xfId="0" applyNumberFormat="1" applyFont="1" applyBorder="1"/>
    <xf numFmtId="168" fontId="56" fillId="0" borderId="25" xfId="0" applyNumberFormat="1" applyFont="1" applyBorder="1"/>
    <xf numFmtId="1" fontId="56" fillId="0" borderId="25" xfId="0" applyNumberFormat="1" applyFont="1" applyBorder="1"/>
    <xf numFmtId="170" fontId="56" fillId="0" borderId="25" xfId="0" applyNumberFormat="1" applyFont="1" applyBorder="1"/>
    <xf numFmtId="166" fontId="56" fillId="0" borderId="27" xfId="0" applyNumberFormat="1" applyFont="1" applyBorder="1"/>
    <xf numFmtId="1" fontId="56" fillId="0" borderId="27" xfId="0" applyNumberFormat="1" applyFont="1" applyBorder="1"/>
    <xf numFmtId="167" fontId="56" fillId="0" borderId="28" xfId="0" applyNumberFormat="1" applyFont="1" applyBorder="1"/>
    <xf numFmtId="0" fontId="70" fillId="0" borderId="28" xfId="0" applyFont="1" applyFill="1" applyBorder="1" applyAlignment="1"/>
    <xf numFmtId="167" fontId="56" fillId="0" borderId="29" xfId="0" applyNumberFormat="1" applyFont="1" applyBorder="1"/>
    <xf numFmtId="1" fontId="65" fillId="0" borderId="28" xfId="0" applyNumberFormat="1" applyFont="1" applyBorder="1"/>
    <xf numFmtId="167" fontId="65" fillId="0" borderId="28" xfId="0" applyNumberFormat="1" applyFont="1" applyBorder="1"/>
    <xf numFmtId="0" fontId="65" fillId="0" borderId="0" xfId="0" applyFont="1" applyFill="1" applyAlignment="1">
      <alignment horizontal="right"/>
    </xf>
    <xf numFmtId="10" fontId="0" fillId="0" borderId="0" xfId="0" applyNumberFormat="1"/>
    <xf numFmtId="1" fontId="65" fillId="0" borderId="30" xfId="0" applyNumberFormat="1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79" fillId="0" borderId="31" xfId="0" applyFont="1" applyBorder="1" applyAlignment="1">
      <alignment horizontal="center" wrapText="1"/>
    </xf>
    <xf numFmtId="0" fontId="79" fillId="0" borderId="31" xfId="0" applyFont="1" applyBorder="1" applyAlignment="1">
      <alignment wrapText="1"/>
    </xf>
    <xf numFmtId="0" fontId="79" fillId="0" borderId="0" xfId="0" applyFont="1" applyBorder="1" applyAlignment="1">
      <alignment horizontal="center" wrapText="1"/>
    </xf>
    <xf numFmtId="0" fontId="80" fillId="0" borderId="31" xfId="0" applyFont="1" applyBorder="1" applyAlignment="1">
      <alignment wrapText="1"/>
    </xf>
    <xf numFmtId="0" fontId="0" fillId="0" borderId="31" xfId="0" applyFill="1" applyBorder="1" applyAlignment="1">
      <alignment horizontal="center"/>
    </xf>
    <xf numFmtId="0" fontId="67" fillId="0" borderId="31" xfId="2" applyFont="1" applyBorder="1" applyAlignment="1" applyProtection="1">
      <alignment horizontal="center"/>
    </xf>
    <xf numFmtId="2" fontId="65" fillId="6" borderId="0" xfId="0" applyNumberFormat="1" applyFont="1" applyFill="1"/>
    <xf numFmtId="167" fontId="65" fillId="6" borderId="0" xfId="0" applyNumberFormat="1" applyFont="1" applyFill="1"/>
    <xf numFmtId="0" fontId="82" fillId="0" borderId="0" xfId="0" applyFont="1"/>
    <xf numFmtId="4" fontId="0" fillId="0" borderId="0" xfId="0" applyNumberFormat="1"/>
    <xf numFmtId="2" fontId="0" fillId="0" borderId="0" xfId="0" applyNumberFormat="1"/>
    <xf numFmtId="0" fontId="83" fillId="0" borderId="0" xfId="0" applyFont="1"/>
    <xf numFmtId="0" fontId="12" fillId="0" borderId="0" xfId="2" applyAlignment="1" applyProtection="1">
      <alignment horizontal="center"/>
    </xf>
    <xf numFmtId="0" fontId="46" fillId="0" borderId="0" xfId="0" applyFont="1" applyAlignment="1">
      <alignment horizontal="right"/>
    </xf>
    <xf numFmtId="2" fontId="0" fillId="0" borderId="0" xfId="0" applyNumberFormat="1" applyBorder="1"/>
    <xf numFmtId="0" fontId="56" fillId="0" borderId="3" xfId="0" applyFont="1" applyFill="1" applyBorder="1"/>
    <xf numFmtId="0" fontId="65" fillId="0" borderId="0" xfId="0" applyFont="1" applyBorder="1"/>
    <xf numFmtId="0" fontId="56" fillId="0" borderId="0" xfId="0" applyFont="1" applyBorder="1"/>
    <xf numFmtId="0" fontId="0" fillId="0" borderId="0" xfId="0" applyFill="1" applyBorder="1"/>
    <xf numFmtId="10" fontId="0" fillId="0" borderId="0" xfId="0" applyNumberFormat="1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75" fillId="0" borderId="32" xfId="0" applyFont="1" applyBorder="1" applyAlignment="1">
      <alignment horizontal="center"/>
    </xf>
    <xf numFmtId="10" fontId="0" fillId="0" borderId="32" xfId="0" applyNumberFormat="1" applyBorder="1"/>
    <xf numFmtId="0" fontId="83" fillId="0" borderId="8" xfId="0" applyFont="1" applyBorder="1" applyAlignment="1">
      <alignment horizontal="center"/>
    </xf>
    <xf numFmtId="0" fontId="0" fillId="0" borderId="8" xfId="0" applyBorder="1"/>
    <xf numFmtId="0" fontId="46" fillId="0" borderId="33" xfId="0" applyFont="1" applyFill="1" applyBorder="1" applyAlignment="1">
      <alignment horizontal="center"/>
    </xf>
    <xf numFmtId="2" fontId="83" fillId="0" borderId="33" xfId="0" applyNumberFormat="1" applyFont="1" applyBorder="1" applyAlignment="1">
      <alignment horizontal="center"/>
    </xf>
    <xf numFmtId="0" fontId="83" fillId="0" borderId="33" xfId="0" applyFont="1" applyBorder="1" applyAlignment="1">
      <alignment horizontal="center"/>
    </xf>
    <xf numFmtId="0" fontId="0" fillId="0" borderId="32" xfId="0" applyFill="1" applyBorder="1"/>
    <xf numFmtId="0" fontId="84" fillId="0" borderId="8" xfId="0" applyFont="1" applyBorder="1" applyAlignment="1">
      <alignment horizontal="center"/>
    </xf>
    <xf numFmtId="10" fontId="0" fillId="0" borderId="14" xfId="0" applyNumberFormat="1" applyBorder="1"/>
    <xf numFmtId="0" fontId="0" fillId="0" borderId="14" xfId="0" applyBorder="1"/>
    <xf numFmtId="1" fontId="0" fillId="0" borderId="0" xfId="0" applyNumberFormat="1"/>
    <xf numFmtId="169" fontId="0" fillId="0" borderId="0" xfId="0" applyNumberFormat="1"/>
    <xf numFmtId="0" fontId="56" fillId="0" borderId="0" xfId="0" applyFont="1" applyFill="1" applyBorder="1"/>
    <xf numFmtId="171" fontId="0" fillId="0" borderId="32" xfId="0" applyNumberFormat="1" applyBorder="1"/>
    <xf numFmtId="1" fontId="56" fillId="9" borderId="25" xfId="0" applyNumberFormat="1" applyFont="1" applyFill="1" applyBorder="1"/>
    <xf numFmtId="167" fontId="56" fillId="9" borderId="25" xfId="0" applyNumberFormat="1" applyFont="1" applyFill="1" applyBorder="1"/>
    <xf numFmtId="0" fontId="0" fillId="5" borderId="24" xfId="0" applyFill="1" applyBorder="1" applyAlignment="1">
      <alignment vertical="center"/>
    </xf>
    <xf numFmtId="0" fontId="0" fillId="5" borderId="34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12" fillId="5" borderId="30" xfId="2" applyFill="1" applyBorder="1" applyAlignment="1" applyProtection="1">
      <alignment horizontal="center" vertical="center" wrapText="1"/>
    </xf>
    <xf numFmtId="0" fontId="12" fillId="5" borderId="30" xfId="2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5" borderId="3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0" fillId="6" borderId="32" xfId="0" applyFill="1" applyBorder="1"/>
    <xf numFmtId="0" fontId="87" fillId="0" borderId="0" xfId="0" applyFont="1"/>
    <xf numFmtId="0" fontId="56" fillId="11" borderId="0" xfId="0" applyFont="1" applyFill="1" applyBorder="1"/>
    <xf numFmtId="0" fontId="0" fillId="11" borderId="0" xfId="0" applyFill="1"/>
    <xf numFmtId="1" fontId="0" fillId="11" borderId="0" xfId="0" applyNumberFormat="1" applyFill="1"/>
    <xf numFmtId="0" fontId="0" fillId="13" borderId="3" xfId="0" applyFill="1" applyBorder="1"/>
    <xf numFmtId="0" fontId="0" fillId="13" borderId="10" xfId="0" applyFill="1" applyBorder="1"/>
    <xf numFmtId="0" fontId="0" fillId="12" borderId="3" xfId="0" applyFill="1" applyBorder="1"/>
    <xf numFmtId="0" fontId="0" fillId="12" borderId="10" xfId="0" applyFill="1" applyBorder="1"/>
    <xf numFmtId="0" fontId="0" fillId="13" borderId="19" xfId="0" applyFill="1" applyBorder="1"/>
    <xf numFmtId="0" fontId="0" fillId="13" borderId="21" xfId="0" applyFill="1" applyBorder="1"/>
    <xf numFmtId="0" fontId="91" fillId="0" borderId="0" xfId="0" applyFont="1"/>
    <xf numFmtId="0" fontId="91" fillId="11" borderId="0" xfId="0" applyFont="1" applyFill="1"/>
    <xf numFmtId="0" fontId="0" fillId="0" borderId="44" xfId="0" applyBorder="1"/>
    <xf numFmtId="0" fontId="0" fillId="0" borderId="45" xfId="0" applyBorder="1"/>
    <xf numFmtId="0" fontId="0" fillId="11" borderId="45" xfId="0" applyFill="1" applyBorder="1"/>
    <xf numFmtId="0" fontId="0" fillId="0" borderId="46" xfId="0" applyBorder="1"/>
    <xf numFmtId="0" fontId="0" fillId="0" borderId="40" xfId="0" applyBorder="1"/>
    <xf numFmtId="0" fontId="0" fillId="0" borderId="47" xfId="0" applyBorder="1"/>
    <xf numFmtId="0" fontId="0" fillId="0" borderId="42" xfId="0" applyBorder="1"/>
    <xf numFmtId="0" fontId="0" fillId="0" borderId="43" xfId="0" applyBorder="1"/>
    <xf numFmtId="0" fontId="0" fillId="0" borderId="13" xfId="0" applyBorder="1"/>
    <xf numFmtId="0" fontId="93" fillId="0" borderId="0" xfId="0" applyFont="1" applyBorder="1"/>
    <xf numFmtId="10" fontId="93" fillId="0" borderId="0" xfId="0" applyNumberFormat="1" applyFont="1" applyBorder="1"/>
    <xf numFmtId="10" fontId="93" fillId="0" borderId="47" xfId="0" applyNumberFormat="1" applyFont="1" applyBorder="1"/>
    <xf numFmtId="0" fontId="93" fillId="0" borderId="43" xfId="0" applyFont="1" applyBorder="1"/>
    <xf numFmtId="10" fontId="93" fillId="0" borderId="43" xfId="0" applyNumberFormat="1" applyFont="1" applyBorder="1"/>
    <xf numFmtId="10" fontId="93" fillId="0" borderId="13" xfId="0" applyNumberFormat="1" applyFont="1" applyBorder="1"/>
    <xf numFmtId="167" fontId="0" fillId="0" borderId="0" xfId="0" applyNumberFormat="1" applyBorder="1"/>
    <xf numFmtId="167" fontId="0" fillId="0" borderId="43" xfId="0" applyNumberFormat="1" applyBorder="1"/>
    <xf numFmtId="0" fontId="50" fillId="5" borderId="24" xfId="0" applyFont="1" applyFill="1" applyBorder="1" applyAlignment="1"/>
    <xf numFmtId="0" fontId="70" fillId="5" borderId="35" xfId="0" applyFont="1" applyFill="1" applyBorder="1" applyAlignment="1"/>
    <xf numFmtId="0" fontId="0" fillId="0" borderId="35" xfId="0" applyBorder="1" applyAlignment="1"/>
    <xf numFmtId="0" fontId="0" fillId="0" borderId="30" xfId="0" applyBorder="1" applyAlignment="1"/>
    <xf numFmtId="0" fontId="87" fillId="12" borderId="2" xfId="0" applyFont="1" applyFill="1" applyBorder="1" applyAlignment="1">
      <alignment wrapText="1"/>
    </xf>
    <xf numFmtId="0" fontId="87" fillId="12" borderId="20" xfId="0" applyFont="1" applyFill="1" applyBorder="1" applyAlignment="1"/>
    <xf numFmtId="0" fontId="87" fillId="12" borderId="3" xfId="0" applyFont="1" applyFill="1" applyBorder="1" applyAlignment="1"/>
    <xf numFmtId="0" fontId="87" fillId="12" borderId="10" xfId="0" applyFont="1" applyFill="1" applyBorder="1" applyAlignment="1"/>
    <xf numFmtId="0" fontId="56" fillId="11" borderId="0" xfId="0" applyFont="1" applyFill="1" applyBorder="1" applyAlignment="1">
      <alignment horizontal="center"/>
    </xf>
    <xf numFmtId="0" fontId="8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4" fillId="3" borderId="20" xfId="0" applyFont="1" applyFill="1" applyBorder="1" applyAlignment="1">
      <alignment vertical="top"/>
    </xf>
    <xf numFmtId="0" fontId="0" fillId="0" borderId="21" xfId="0" applyBorder="1" applyAlignment="1">
      <alignment vertical="top"/>
    </xf>
    <xf numFmtId="0" fontId="45" fillId="3" borderId="19" xfId="2" applyFont="1" applyFill="1" applyBorder="1" applyAlignment="1" applyProtection="1"/>
    <xf numFmtId="0" fontId="0" fillId="0" borderId="18" xfId="0" applyBorder="1" applyAlignment="1"/>
    <xf numFmtId="0" fontId="0" fillId="2" borderId="2" xfId="0" applyFill="1" applyBorder="1" applyAlignment="1"/>
    <xf numFmtId="0" fontId="0" fillId="0" borderId="1" xfId="0" applyBorder="1" applyAlignment="1"/>
    <xf numFmtId="0" fontId="0" fillId="0" borderId="20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48" fillId="3" borderId="20" xfId="0" applyFont="1" applyFill="1" applyBorder="1" applyAlignment="1">
      <alignment horizontal="center" vertical="top"/>
    </xf>
    <xf numFmtId="0" fontId="71" fillId="0" borderId="2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2" fillId="3" borderId="20" xfId="0" applyFont="1" applyFill="1" applyBorder="1" applyAlignment="1">
      <alignment horizontal="center" vertical="top"/>
    </xf>
    <xf numFmtId="0" fontId="71" fillId="0" borderId="21" xfId="0" applyFont="1" applyBorder="1" applyAlignment="1"/>
    <xf numFmtId="0" fontId="47" fillId="4" borderId="20" xfId="2" applyFont="1" applyFill="1" applyBorder="1" applyAlignment="1" applyProtection="1">
      <alignment horizontal="center" vertical="top"/>
    </xf>
    <xf numFmtId="0" fontId="48" fillId="3" borderId="20" xfId="0" applyFont="1" applyFill="1" applyBorder="1" applyAlignment="1">
      <alignment vertical="top"/>
    </xf>
    <xf numFmtId="0" fontId="71" fillId="0" borderId="21" xfId="0" applyFont="1" applyBorder="1" applyAlignment="1">
      <alignment vertical="top"/>
    </xf>
    <xf numFmtId="0" fontId="48" fillId="4" borderId="20" xfId="0" applyFont="1" applyFill="1" applyBorder="1" applyAlignment="1">
      <alignment horizontal="center" vertical="top"/>
    </xf>
    <xf numFmtId="0" fontId="48" fillId="4" borderId="21" xfId="0" applyFont="1" applyFill="1" applyBorder="1" applyAlignment="1">
      <alignment horizontal="center" vertical="top"/>
    </xf>
    <xf numFmtId="0" fontId="45" fillId="4" borderId="19" xfId="2" applyFont="1" applyFill="1" applyBorder="1" applyAlignment="1" applyProtection="1"/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9" fillId="4" borderId="20" xfId="0" applyFont="1" applyFill="1" applyBorder="1" applyAlignment="1">
      <alignment horizontal="center" vertical="top"/>
    </xf>
    <xf numFmtId="0" fontId="49" fillId="4" borderId="21" xfId="0" applyFont="1" applyFill="1" applyBorder="1" applyAlignment="1">
      <alignment horizontal="center" vertical="top"/>
    </xf>
    <xf numFmtId="0" fontId="45" fillId="4" borderId="19" xfId="2" applyFont="1" applyFill="1" applyBorder="1" applyAlignment="1" applyProtection="1">
      <alignment horizontal="left"/>
    </xf>
    <xf numFmtId="0" fontId="45" fillId="4" borderId="18" xfId="2" applyFont="1" applyFill="1" applyBorder="1" applyAlignment="1" applyProtection="1">
      <alignment horizontal="left"/>
    </xf>
    <xf numFmtId="0" fontId="11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49" fillId="3" borderId="20" xfId="0" applyFont="1" applyFill="1" applyBorder="1" applyAlignment="1">
      <alignment horizontal="left" vertical="top"/>
    </xf>
    <xf numFmtId="0" fontId="49" fillId="3" borderId="21" xfId="0" applyFont="1" applyFill="1" applyBorder="1" applyAlignment="1">
      <alignment horizontal="left" vertical="top"/>
    </xf>
    <xf numFmtId="0" fontId="65" fillId="6" borderId="19" xfId="0" applyFont="1" applyFill="1" applyBorder="1" applyAlignment="1">
      <alignment horizontal="left"/>
    </xf>
    <xf numFmtId="0" fontId="65" fillId="6" borderId="18" xfId="0" applyFont="1" applyFill="1" applyBorder="1" applyAlignment="1">
      <alignment horizontal="left"/>
    </xf>
    <xf numFmtId="0" fontId="49" fillId="6" borderId="20" xfId="0" applyFont="1" applyFill="1" applyBorder="1" applyAlignment="1">
      <alignment horizontal="left" vertical="top"/>
    </xf>
    <xf numFmtId="0" fontId="49" fillId="6" borderId="21" xfId="0" applyFont="1" applyFill="1" applyBorder="1" applyAlignment="1">
      <alignment horizontal="left" vertical="top"/>
    </xf>
    <xf numFmtId="0" fontId="49" fillId="4" borderId="20" xfId="0" applyFont="1" applyFill="1" applyBorder="1" applyAlignment="1">
      <alignment horizontal="left" vertical="top"/>
    </xf>
    <xf numFmtId="0" fontId="49" fillId="4" borderId="21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9" xfId="0" applyBorder="1" applyAlignment="1">
      <alignment horizontal="center"/>
    </xf>
    <xf numFmtId="0" fontId="49" fillId="5" borderId="20" xfId="0" applyFont="1" applyFill="1" applyBorder="1" applyAlignment="1">
      <alignment horizontal="center" vertical="top"/>
    </xf>
    <xf numFmtId="0" fontId="49" fillId="5" borderId="21" xfId="0" applyFont="1" applyFill="1" applyBorder="1" applyAlignment="1">
      <alignment horizontal="center" vertical="top"/>
    </xf>
    <xf numFmtId="0" fontId="26" fillId="5" borderId="19" xfId="0" applyFont="1" applyFill="1" applyBorder="1" applyAlignment="1">
      <alignment horizontal="left"/>
    </xf>
    <xf numFmtId="0" fontId="26" fillId="5" borderId="18" xfId="0" applyFont="1" applyFill="1" applyBorder="1" applyAlignment="1">
      <alignment horizontal="left"/>
    </xf>
    <xf numFmtId="0" fontId="23" fillId="5" borderId="19" xfId="0" applyFont="1" applyFill="1" applyBorder="1" applyAlignment="1">
      <alignment horizontal="left"/>
    </xf>
    <xf numFmtId="0" fontId="23" fillId="5" borderId="18" xfId="0" applyFont="1" applyFill="1" applyBorder="1" applyAlignment="1">
      <alignment horizontal="left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22" fillId="0" borderId="44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164" fontId="22" fillId="0" borderId="44" xfId="1" applyNumberFormat="1" applyFont="1" applyBorder="1" applyAlignment="1">
      <alignment horizontal="center"/>
    </xf>
    <xf numFmtId="164" fontId="22" fillId="0" borderId="40" xfId="1" applyNumberFormat="1" applyFont="1" applyBorder="1" applyAlignment="1">
      <alignment horizontal="center"/>
    </xf>
    <xf numFmtId="164" fontId="22" fillId="0" borderId="48" xfId="1" applyNumberFormat="1" applyFont="1" applyBorder="1" applyAlignment="1">
      <alignment horizontal="center"/>
    </xf>
    <xf numFmtId="0" fontId="49" fillId="5" borderId="20" xfId="0" applyFont="1" applyFill="1" applyBorder="1" applyAlignment="1"/>
    <xf numFmtId="0" fontId="26" fillId="5" borderId="19" xfId="0" applyFont="1" applyFill="1" applyBorder="1" applyAlignment="1"/>
    <xf numFmtId="0" fontId="49" fillId="3" borderId="20" xfId="0" applyFont="1" applyFill="1" applyBorder="1" applyAlignment="1">
      <alignment horizontal="center" vertical="top"/>
    </xf>
    <xf numFmtId="0" fontId="49" fillId="3" borderId="21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72" fillId="6" borderId="19" xfId="0" applyFont="1" applyFill="1" applyBorder="1" applyAlignment="1">
      <alignment horizontal="left"/>
    </xf>
    <xf numFmtId="0" fontId="72" fillId="6" borderId="18" xfId="0" applyFont="1" applyFill="1" applyBorder="1" applyAlignment="1">
      <alignment horizontal="left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1" fontId="65" fillId="8" borderId="30" xfId="0" applyNumberFormat="1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6" borderId="0" xfId="0" applyFill="1" applyAlignment="1">
      <alignment horizontal="right"/>
    </xf>
    <xf numFmtId="1" fontId="87" fillId="0" borderId="0" xfId="0" applyNumberFormat="1" applyFont="1"/>
    <xf numFmtId="0" fontId="56" fillId="14" borderId="3" xfId="0" applyFont="1" applyFill="1" applyBorder="1"/>
    <xf numFmtId="0" fontId="56" fillId="14" borderId="23" xfId="0" applyFont="1" applyFill="1" applyBorder="1"/>
    <xf numFmtId="2" fontId="0" fillId="0" borderId="0" xfId="0" applyNumberFormat="1" applyAlignment="1">
      <alignment horizontal="center"/>
    </xf>
    <xf numFmtId="167" fontId="65" fillId="15" borderId="28" xfId="0" applyNumberFormat="1" applyFont="1" applyFill="1" applyBorder="1"/>
    <xf numFmtId="2" fontId="94" fillId="15" borderId="28" xfId="0" applyNumberFormat="1" applyFont="1" applyFill="1" applyBorder="1"/>
    <xf numFmtId="0" fontId="87" fillId="14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394335</xdr:colOff>
      <xdr:row>13</xdr:row>
      <xdr:rowOff>85725</xdr:rowOff>
    </xdr:from>
    <xdr:to>
      <xdr:col>13</xdr:col>
      <xdr:colOff>451485</xdr:colOff>
      <xdr:row>29</xdr:row>
      <xdr:rowOff>78105</xdr:rowOff>
    </xdr:to>
    <xdr:sp macro="" textlink="">
      <xdr:nvSpPr>
        <xdr:cNvPr id="2" name="TextBox 1"/>
        <xdr:cNvSpPr txBox="1"/>
      </xdr:nvSpPr>
      <xdr:spPr>
        <a:xfrm>
          <a:off x="4396740" y="2453640"/>
          <a:ext cx="4747260" cy="2918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Расчет компонентов ведем по столбцам </a:t>
          </a:r>
          <a:r>
            <a:rPr lang="en-US" sz="1100"/>
            <a:t>E-L</a:t>
          </a:r>
          <a:r>
            <a:rPr lang="ru-RU" sz="1100"/>
            <a:t>,</a:t>
          </a:r>
          <a:r>
            <a:rPr lang="ru-RU" sz="1100" baseline="0"/>
            <a:t> шаг за шагом "набирая" количество необходимых ионов (строки 2-13). Необходимое количество каждой соли заносим в ячейки </a:t>
          </a:r>
          <a:r>
            <a:rPr lang="en-US" sz="1100" baseline="0"/>
            <a:t>B16-B27.</a:t>
          </a:r>
          <a:endParaRPr lang="ru-RU" sz="1100" baseline="0"/>
        </a:p>
        <a:p>
          <a:endParaRPr lang="ru-RU" sz="1100" baseline="0"/>
        </a:p>
        <a:p>
          <a:r>
            <a:rPr lang="ru-RU" sz="1100"/>
            <a:t>В ячейке </a:t>
          </a:r>
          <a:r>
            <a:rPr lang="en-US" sz="1100"/>
            <a:t>B26</a:t>
          </a:r>
          <a:r>
            <a:rPr lang="ru-RU" sz="1100"/>
            <a:t> пересчитываем</a:t>
          </a:r>
          <a:r>
            <a:rPr lang="ru-RU" sz="1100" baseline="0"/>
            <a:t> количество необходимых ионов кальция в количество двухводнодного хлорида кальция. После этого в столбце </a:t>
          </a:r>
          <a:r>
            <a:rPr lang="en-US" sz="1100" baseline="0"/>
            <a:t>D </a:t>
          </a:r>
          <a:r>
            <a:rPr lang="ru-RU" sz="1100" baseline="0"/>
            <a:t>заносим , сколько осталось "добрать" ионов кальция и хлора, соответственно. </a:t>
          </a:r>
        </a:p>
        <a:p>
          <a:endParaRPr lang="ru-RU" sz="1100" baseline="0"/>
        </a:p>
        <a:p>
          <a:r>
            <a:rPr lang="ru-RU" sz="1100" baseline="0"/>
            <a:t>Схожим образом постепенно перемещаемся от столбца </a:t>
          </a:r>
          <a:r>
            <a:rPr lang="en-US" sz="1100" baseline="0"/>
            <a:t>D </a:t>
          </a:r>
          <a:r>
            <a:rPr lang="ru-RU" sz="1100" baseline="0"/>
            <a:t>к столбцу </a:t>
          </a:r>
          <a:r>
            <a:rPr lang="en-US" sz="1100" baseline="0"/>
            <a:t>K</a:t>
          </a:r>
          <a:r>
            <a:rPr lang="ru-RU" sz="1100" baseline="0"/>
            <a:t>, стараясь постепенно "обнулить" недостающее количество соответствующих ионов. </a:t>
          </a:r>
        </a:p>
        <a:p>
          <a:endParaRPr lang="ru-RU" sz="1100" baseline="0"/>
        </a:p>
        <a:p>
          <a:r>
            <a:rPr lang="ru-RU" sz="1100" baseline="0"/>
            <a:t>Заполнив все ячейки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C16-C27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расчетными данными, переносим округленные значения в ячейки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D16-D27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соответственно и пересчитываем для проверки отклонение в содержании каждого иона в ячейках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M2-M13.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394335</xdr:colOff>
      <xdr:row>13</xdr:row>
      <xdr:rowOff>85725</xdr:rowOff>
    </xdr:from>
    <xdr:to>
      <xdr:col>13</xdr:col>
      <xdr:colOff>451485</xdr:colOff>
      <xdr:row>29</xdr:row>
      <xdr:rowOff>78105</xdr:rowOff>
    </xdr:to>
    <xdr:sp macro="" textlink="">
      <xdr:nvSpPr>
        <xdr:cNvPr id="2" name="TextBox 1"/>
        <xdr:cNvSpPr txBox="1"/>
      </xdr:nvSpPr>
      <xdr:spPr>
        <a:xfrm>
          <a:off x="3299460" y="2562225"/>
          <a:ext cx="4648200" cy="304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Расчет компонентов ведем по столбцам </a:t>
          </a:r>
          <a:r>
            <a:rPr lang="en-US" sz="1100"/>
            <a:t>D-K</a:t>
          </a:r>
          <a:r>
            <a:rPr lang="ru-RU" sz="1100"/>
            <a:t>,</a:t>
          </a:r>
          <a:r>
            <a:rPr lang="ru-RU" sz="1100" baseline="0"/>
            <a:t> шаг за шагом "набирая" количество необходимых ионов (строки 2-13). Необходимое количество каждой соли заносим в ячейки </a:t>
          </a:r>
          <a:r>
            <a:rPr lang="en-US" sz="1100" baseline="0"/>
            <a:t>B16-B27.</a:t>
          </a:r>
          <a:endParaRPr lang="ru-RU" sz="1100" baseline="0"/>
        </a:p>
        <a:p>
          <a:endParaRPr lang="ru-RU" sz="1100" baseline="0"/>
        </a:p>
        <a:p>
          <a:r>
            <a:rPr lang="ru-RU" sz="1100"/>
            <a:t>В ячейке </a:t>
          </a:r>
          <a:r>
            <a:rPr lang="en-US" sz="1100"/>
            <a:t>B26</a:t>
          </a:r>
          <a:r>
            <a:rPr lang="ru-RU" sz="1100"/>
            <a:t> пересчитываем</a:t>
          </a:r>
          <a:r>
            <a:rPr lang="ru-RU" sz="1100" baseline="0"/>
            <a:t> количество необходимых ионов кальция в количество двухводнодного хлорида кальция. После этого в столбце </a:t>
          </a:r>
          <a:r>
            <a:rPr lang="en-US" sz="1100" baseline="0"/>
            <a:t>D </a:t>
          </a:r>
          <a:r>
            <a:rPr lang="ru-RU" sz="1100" baseline="0"/>
            <a:t>заносим , сколько осталось "добрать" ионов кальция и хлора, соответственно. </a:t>
          </a:r>
        </a:p>
        <a:p>
          <a:endParaRPr lang="ru-RU" sz="1100" baseline="0"/>
        </a:p>
        <a:p>
          <a:r>
            <a:rPr lang="ru-RU" sz="1100" baseline="0"/>
            <a:t>Схожим образом постепенно перемещаемся от столбца </a:t>
          </a:r>
          <a:r>
            <a:rPr lang="en-US" sz="1100" baseline="0"/>
            <a:t>D </a:t>
          </a:r>
          <a:r>
            <a:rPr lang="ru-RU" sz="1100" baseline="0"/>
            <a:t>к столбцу </a:t>
          </a:r>
          <a:r>
            <a:rPr lang="en-US" sz="1100" baseline="0"/>
            <a:t>K</a:t>
          </a:r>
          <a:r>
            <a:rPr lang="ru-RU" sz="1100" baseline="0"/>
            <a:t>, стараясь постепенно "обнулить" недостающее количество соответствующих ионов. </a:t>
          </a:r>
        </a:p>
        <a:p>
          <a:endParaRPr lang="ru-RU" sz="1100" baseline="0"/>
        </a:p>
        <a:p>
          <a:r>
            <a:rPr lang="ru-RU" sz="1100" baseline="0"/>
            <a:t>Заполнив все ячейки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B16-B27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расчетными данными, переносим округленные значения в ячейки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D16-D27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соответственно и пересчитываем для проверки отклонение в содержании каждого иона в ячейках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M2-M13.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205740</xdr:colOff>
      <xdr:row>1</xdr:row>
      <xdr:rowOff>15240</xdr:rowOff>
    </xdr:from>
    <xdr:to>
      <xdr:col>13</xdr:col>
      <xdr:colOff>375313</xdr:colOff>
      <xdr:row>9</xdr:row>
      <xdr:rowOff>70527</xdr:rowOff>
    </xdr:to>
    <xdr:sp macro="" textlink="">
      <xdr:nvSpPr>
        <xdr:cNvPr id="5143" name="TextBox 1"/>
        <xdr:cNvSpPr txBox="1">
          <a:spLocks noChangeArrowheads="1"/>
        </xdr:cNvSpPr>
      </xdr:nvSpPr>
      <xdr:spPr bwMode="auto">
        <a:xfrm>
          <a:off x="5692140" y="205740"/>
          <a:ext cx="2598420" cy="1600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В таблице приводятся данные анализов натуральной морской воды из различных источников. В "шапке" каждого столбца приводится гиперссылка на соответствующий источник. Данные в колонке "</a:t>
          </a:r>
          <a:r>
            <a:rPr lang="en-US" sz="1100" b="0" i="0" strike="noStrike">
              <a:solidFill>
                <a:srgbClr val="0000FF"/>
              </a:solidFill>
              <a:latin typeface="Calibri"/>
            </a:rPr>
            <a:t>C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" 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из какой-то книги. В колонке "</a:t>
          </a:r>
          <a:r>
            <a:rPr lang="en-US" sz="1100" b="0" i="0" strike="noStrike">
              <a:solidFill>
                <a:srgbClr val="0000FF"/>
              </a:solidFill>
              <a:latin typeface="Calibri"/>
            </a:rPr>
            <a:t>B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" 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считаются усредненные значения по семи приведенным источникам.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</xdr:colOff>
      <xdr:row>0</xdr:row>
      <xdr:rowOff>152400</xdr:rowOff>
    </xdr:from>
    <xdr:to>
      <xdr:col>21</xdr:col>
      <xdr:colOff>182884</xdr:colOff>
      <xdr:row>0</xdr:row>
      <xdr:rowOff>495300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743200" y="152400"/>
          <a:ext cx="929640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66CCFF"/>
              </a:solidFill>
              <a:effectLst/>
              <a:latin typeface="Arial"/>
              <a:cs typeface="Arial"/>
            </a:rPr>
            <a:t>Растворимость гидроксидов и солей в воде.</a:t>
          </a:r>
          <a:endParaRPr lang="en-US" sz="3600" kern="10" spc="0">
            <a:ln w="9525">
              <a:solidFill>
                <a:srgbClr val="3366FF"/>
              </a:solidFill>
              <a:round/>
              <a:headEnd/>
              <a:tailEnd/>
            </a:ln>
            <a:solidFill>
              <a:srgbClr val="66CCFF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466725</xdr:colOff>
      <xdr:row>0</xdr:row>
      <xdr:rowOff>628650</xdr:rowOff>
    </xdr:from>
    <xdr:to>
      <xdr:col>17</xdr:col>
      <xdr:colOff>47625</xdr:colOff>
      <xdr:row>0</xdr:row>
      <xdr:rowOff>885825</xdr:rowOff>
    </xdr:to>
    <xdr:sp macro="" textlink="">
      <xdr:nvSpPr>
        <xdr:cNvPr id="6334" name="WordArt 3"/>
        <xdr:cNvSpPr>
          <a:spLocks noChangeArrowheads="1" noChangeShapeType="1" noTextEdit="1"/>
        </xdr:cNvSpPr>
      </xdr:nvSpPr>
      <xdr:spPr bwMode="auto">
        <a:xfrm>
          <a:off x="4352925" y="514350"/>
          <a:ext cx="523875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u="sng" strike="sngStrike" kern="10" cap="small" spc="0">
              <a:ln w="9525">
                <a:solidFill>
                  <a:srgbClr val="3366FF"/>
                </a:solidFill>
                <a:round/>
                <a:headEnd/>
                <a:tailEnd/>
              </a:ln>
              <a:solidFill>
                <a:srgbClr val="66CCFF"/>
              </a:solidFill>
              <a:latin typeface="Arial"/>
              <a:cs typeface="Arial"/>
            </a:rPr>
            <a:t>(при комнатной температуре)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holarship.org/editions/view?docId=kt167nb66r&amp;chunk.id=d2_1_ch06&amp;toc.id=ch06&amp;toc.depth=1&amp;brand=eschol&amp;anchor.id=bib059_ch06" TargetMode="External"/><Relationship Id="rId3" Type="http://schemas.openxmlformats.org/officeDocument/2006/relationships/hyperlink" Target="http://aquaria2.ru/node/2100" TargetMode="External"/><Relationship Id="rId7" Type="http://schemas.openxmlformats.org/officeDocument/2006/relationships/hyperlink" Target="http://www.escholarship.org/editions/view?docId=kt167nb66r&amp;chunk.id=d2_1_ch06&amp;toc.id=ch06&amp;toc.depth=1&amp;brand=eschol&amp;anchor.id=bib085_ch06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aquaforum.kiev.ua/showthread.php?t=5403" TargetMode="External"/><Relationship Id="rId1" Type="http://schemas.openxmlformats.org/officeDocument/2006/relationships/hyperlink" Target="http://indianaquariumhobbyist.com/community/modules.php?name=Forums&amp;file=viewtopic&amp;t=5766&amp;start=30" TargetMode="External"/><Relationship Id="rId6" Type="http://schemas.openxmlformats.org/officeDocument/2006/relationships/hyperlink" Target="http://www.escholarship.org/editions/view?docId=kt167nb66r&amp;chunk.id=d2_1_ch06&amp;toc.id=ch06&amp;toc.depth=1&amp;brand=eschol&amp;anchor.id=bib060_ch06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eb.archive.org/web/20010303215133/www.animalnetwork.com/fish2/aqfm/1999/mar/features/1/default.as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quaria2.ru/node/629" TargetMode="External"/><Relationship Id="rId9" Type="http://schemas.openxmlformats.org/officeDocument/2006/relationships/hyperlink" Target="http://archive.reefcentral.com/forums/showthread.php?s=11699192ce67ab2132e814d8be994b75&amp;threadid=1107687&amp;highlight=reef+and+salt+and+recipe+and+di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file:///J:\Personal\NEW\Aquaria\Marine\marine%20water\Local%20Settings\Temp\Rar$DI00.328\&#1069;&#1083;&#1077;&#1084;&#1077;&#1085;&#1090;&#1099;\&#1041;&#1088;&#1086;&#1084;.txt" TargetMode="External"/><Relationship Id="rId2" Type="http://schemas.openxmlformats.org/officeDocument/2006/relationships/hyperlink" Target="file:///J:\Personal\NEW\Aquaria\Marine\marine%20water\Local%20Settings\Temp\Rar$DI00.328\&#1069;&#1083;&#1077;&#1084;&#1077;&#1085;&#1090;&#1099;\&#1050;&#1072;&#1083;&#1100;&#1094;&#1080;&#1081;.txt" TargetMode="External"/><Relationship Id="rId1" Type="http://schemas.openxmlformats.org/officeDocument/2006/relationships/hyperlink" Target="file:///J:\Personal\NEW\Aquaria\Marine\marine%20water\Local%20Settings\Temp\Rar$DI00.328\&#1069;&#1083;&#1077;&#1084;&#1077;&#1085;&#1090;&#1099;\&#1043;&#1077;&#1083;&#1080;&#1081;.txt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hyperlink" Target="file:///J:\Personal\NEW\Aquaria\Marine\marine%20water\Local%20Settings\Temp\Rar$DI00.328\&#1069;&#1083;&#1077;&#1084;&#1077;&#1085;&#1090;&#1099;\&#1057;&#1090;&#1088;&#1086;&#1085;&#1094;&#1080;&#1081;.tx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friends.org.nz/oceano/seawater.htm" TargetMode="External"/><Relationship Id="rId2" Type="http://schemas.openxmlformats.org/officeDocument/2006/relationships/hyperlink" Target="http://ozreef.org/library/tables/natural_sea_water_composition.html" TargetMode="External"/><Relationship Id="rId1" Type="http://schemas.openxmlformats.org/officeDocument/2006/relationships/hyperlink" Target="http://saltaquarium.about.com/cs/seasaltmixes/l/aa012003b.ht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8"/>
  <sheetViews>
    <sheetView tabSelected="1" topLeftCell="C1" zoomScale="80" zoomScaleNormal="80" workbookViewId="0">
      <selection activeCell="D2" sqref="D2"/>
    </sheetView>
  </sheetViews>
  <sheetFormatPr defaultRowHeight="15"/>
  <cols>
    <col min="1" max="1" width="6.140625" hidden="1" customWidth="1"/>
    <col min="2" max="2" width="7" customWidth="1"/>
    <col min="3" max="3" width="16.42578125" customWidth="1"/>
    <col min="5" max="5" width="10.140625" customWidth="1"/>
    <col min="6" max="6" width="8.85546875" hidden="1" customWidth="1"/>
    <col min="7" max="7" width="9.7109375" customWidth="1"/>
    <col min="8" max="8" width="8.85546875" hidden="1" customWidth="1"/>
    <col min="9" max="9" width="9" customWidth="1"/>
    <col min="10" max="10" width="0" hidden="1" customWidth="1"/>
    <col min="11" max="11" width="9.28515625" customWidth="1"/>
    <col min="12" max="12" width="2.140625" hidden="1" customWidth="1"/>
    <col min="13" max="13" width="9" customWidth="1"/>
    <col min="14" max="14" width="0" hidden="1" customWidth="1"/>
    <col min="15" max="15" width="9.7109375" customWidth="1"/>
    <col min="16" max="16" width="8.85546875" hidden="1" customWidth="1"/>
    <col min="17" max="17" width="9" customWidth="1"/>
    <col min="18" max="18" width="9" hidden="1" customWidth="1"/>
    <col min="19" max="19" width="9" customWidth="1"/>
    <col min="20" max="20" width="8.85546875" hidden="1" customWidth="1"/>
    <col min="21" max="21" width="9" customWidth="1"/>
    <col min="22" max="22" width="8.85546875" hidden="1" customWidth="1"/>
    <col min="23" max="23" width="9" customWidth="1"/>
    <col min="24" max="24" width="8.85546875" hidden="1" customWidth="1"/>
    <col min="25" max="25" width="11.85546875" customWidth="1"/>
    <col min="26" max="26" width="6.42578125" hidden="1" customWidth="1"/>
    <col min="27" max="27" width="8.7109375" customWidth="1"/>
    <col min="28" max="28" width="12.7109375" hidden="1" customWidth="1"/>
    <col min="29" max="29" width="9.140625" hidden="1" customWidth="1"/>
    <col min="30" max="30" width="0" hidden="1" customWidth="1"/>
    <col min="31" max="31" width="9" hidden="1" customWidth="1"/>
    <col min="32" max="33" width="15.85546875" customWidth="1"/>
    <col min="34" max="34" width="10" customWidth="1"/>
    <col min="35" max="35" width="5.85546875" customWidth="1"/>
    <col min="36" max="37" width="6" customWidth="1"/>
    <col min="38" max="38" width="9.140625" customWidth="1"/>
  </cols>
  <sheetData>
    <row r="1" spans="1:45" ht="15.75" thickBot="1">
      <c r="R1">
        <f>100/30.24</f>
        <v>3.306878306878307</v>
      </c>
      <c r="AA1" s="166"/>
      <c r="AB1" s="128"/>
    </row>
    <row r="2" spans="1:45" ht="16.5" thickTop="1" thickBot="1">
      <c r="C2" s="93" t="s">
        <v>320</v>
      </c>
      <c r="D2" s="359">
        <v>100</v>
      </c>
      <c r="E2" s="145"/>
      <c r="F2" s="113"/>
      <c r="R2" t="s">
        <v>361</v>
      </c>
      <c r="AA2" s="166"/>
      <c r="AL2" s="362">
        <f>AL3+AL4</f>
        <v>218.31547500000002</v>
      </c>
    </row>
    <row r="3" spans="1:45" ht="16.5" thickTop="1" thickBot="1">
      <c r="C3" s="98"/>
      <c r="D3" s="157">
        <v>1</v>
      </c>
      <c r="E3" s="159">
        <v>2</v>
      </c>
      <c r="F3" s="158"/>
      <c r="G3" s="159">
        <v>3</v>
      </c>
      <c r="H3" s="159"/>
      <c r="I3" s="159">
        <v>4</v>
      </c>
      <c r="J3" s="159"/>
      <c r="K3" s="159">
        <v>5</v>
      </c>
      <c r="L3" s="159"/>
      <c r="M3" s="159">
        <v>6</v>
      </c>
      <c r="N3" s="159"/>
      <c r="O3" s="159">
        <v>7</v>
      </c>
      <c r="P3" s="159"/>
      <c r="Q3" s="159">
        <v>8</v>
      </c>
      <c r="R3" s="159"/>
      <c r="S3" s="159">
        <v>9</v>
      </c>
      <c r="T3" s="159"/>
      <c r="U3" s="159">
        <v>10</v>
      </c>
      <c r="V3" s="159"/>
      <c r="W3" s="159">
        <v>11</v>
      </c>
      <c r="X3" s="159"/>
      <c r="Y3" s="159">
        <v>12</v>
      </c>
      <c r="AA3" s="166"/>
      <c r="AI3">
        <v>83</v>
      </c>
      <c r="AJ3">
        <v>40.74</v>
      </c>
      <c r="AK3">
        <v>58.5</v>
      </c>
      <c r="AL3">
        <f>AI3*AJ3*AK3/1000</f>
        <v>197.81307000000001</v>
      </c>
    </row>
    <row r="4" spans="1:45" ht="16.5" thickTop="1" thickBot="1">
      <c r="C4" s="98"/>
      <c r="D4" s="129">
        <f>SUM(D6:D23)</f>
        <v>4284.4149408266267</v>
      </c>
      <c r="E4" s="129">
        <f>SUM(E6:E23)</f>
        <v>4570.8</v>
      </c>
      <c r="F4" s="129">
        <f t="shared" ref="F4:Y4" si="0">SUM(F6:F23)</f>
        <v>42.619800000000005</v>
      </c>
      <c r="G4" s="129">
        <f t="shared" si="0"/>
        <v>4271.9799999999996</v>
      </c>
      <c r="H4" s="129">
        <f t="shared" si="0"/>
        <v>50.55925848240571</v>
      </c>
      <c r="I4" s="129">
        <f t="shared" si="0"/>
        <v>5055.9258482405703</v>
      </c>
      <c r="J4" s="129">
        <f t="shared" si="0"/>
        <v>39.910000000000004</v>
      </c>
      <c r="K4" s="129">
        <f t="shared" si="0"/>
        <v>3991</v>
      </c>
      <c r="L4" s="129">
        <f t="shared" si="0"/>
        <v>41.202999999999996</v>
      </c>
      <c r="M4" s="129">
        <f t="shared" si="0"/>
        <v>4120.2999999999993</v>
      </c>
      <c r="N4" s="129">
        <f t="shared" si="0"/>
        <v>42.461999999999996</v>
      </c>
      <c r="O4" s="129">
        <f t="shared" si="0"/>
        <v>4246.2</v>
      </c>
      <c r="P4" s="129">
        <f t="shared" si="0"/>
        <v>45.967455954097204</v>
      </c>
      <c r="Q4" s="129">
        <f t="shared" si="0"/>
        <v>4596.7455954097213</v>
      </c>
      <c r="R4" s="129">
        <f t="shared" si="0"/>
        <v>1272.76</v>
      </c>
      <c r="S4" s="129">
        <f t="shared" si="0"/>
        <v>4208.862433862434</v>
      </c>
      <c r="T4" s="129">
        <f t="shared" si="0"/>
        <v>36.999131028479567</v>
      </c>
      <c r="U4" s="129">
        <f t="shared" si="0"/>
        <v>4040.1477243928803</v>
      </c>
      <c r="V4" s="129">
        <f t="shared" si="0"/>
        <v>37.212061448319083</v>
      </c>
      <c r="W4" s="129">
        <f t="shared" si="0"/>
        <v>4067.4116325800524</v>
      </c>
      <c r="X4" s="129">
        <f t="shared" si="0"/>
        <v>34.481000000000002</v>
      </c>
      <c r="Y4" s="129">
        <f t="shared" si="0"/>
        <v>3858.4137354037762</v>
      </c>
      <c r="AA4" s="166"/>
      <c r="AI4">
        <v>16.5</v>
      </c>
      <c r="AJ4">
        <f>AJ3</f>
        <v>40.74</v>
      </c>
      <c r="AK4">
        <v>30.5</v>
      </c>
      <c r="AL4">
        <f>AI4*AJ4*AK4/1000</f>
        <v>20.502405000000003</v>
      </c>
    </row>
    <row r="5" spans="1:45" ht="33.75" thickTop="1">
      <c r="C5" s="170" t="s">
        <v>335</v>
      </c>
      <c r="D5" s="171" t="s">
        <v>455</v>
      </c>
      <c r="E5" s="172" t="s">
        <v>453</v>
      </c>
      <c r="F5" s="173" t="s">
        <v>347</v>
      </c>
      <c r="G5" s="173" t="s">
        <v>336</v>
      </c>
      <c r="H5" s="174" t="s">
        <v>348</v>
      </c>
      <c r="I5" s="175" t="s">
        <v>454</v>
      </c>
      <c r="J5" s="173" t="s">
        <v>352</v>
      </c>
      <c r="K5" s="176" t="s">
        <v>352</v>
      </c>
      <c r="L5" s="173" t="s">
        <v>353</v>
      </c>
      <c r="M5" s="176" t="s">
        <v>353</v>
      </c>
      <c r="N5" s="173" t="s">
        <v>351</v>
      </c>
      <c r="O5" s="176" t="s">
        <v>351</v>
      </c>
      <c r="P5" s="173" t="s">
        <v>358</v>
      </c>
      <c r="Q5" s="175" t="s">
        <v>469</v>
      </c>
      <c r="R5" s="173" t="s">
        <v>360</v>
      </c>
      <c r="S5" s="178" t="s">
        <v>452</v>
      </c>
      <c r="T5" s="177" t="s">
        <v>441</v>
      </c>
      <c r="U5" s="176" t="s">
        <v>441</v>
      </c>
      <c r="V5" s="176" t="s">
        <v>442</v>
      </c>
      <c r="W5" s="176" t="s">
        <v>442</v>
      </c>
      <c r="X5" s="176" t="s">
        <v>443</v>
      </c>
      <c r="Y5" s="176" t="s">
        <v>443</v>
      </c>
      <c r="AA5" s="166"/>
      <c r="AB5" t="s">
        <v>465</v>
      </c>
      <c r="AE5" s="141">
        <v>42.33007108773981</v>
      </c>
      <c r="AF5" s="216" t="s">
        <v>473</v>
      </c>
      <c r="AG5" s="217"/>
      <c r="AS5" s="130"/>
    </row>
    <row r="6" spans="1:45">
      <c r="A6" s="164">
        <f>E6/Реактивы!O3</f>
        <v>6.8027855153203349</v>
      </c>
      <c r="B6">
        <v>1</v>
      </c>
      <c r="C6" s="363" t="s">
        <v>125</v>
      </c>
      <c r="D6" s="125">
        <f>$D$2*VLOOKUP(B6,Расчеты1!A16:E34,5)</f>
        <v>2719.4</v>
      </c>
      <c r="E6" s="168">
        <f>$D$2*VLOOKUP(B6,Расчеты2!A16:E34,5)</f>
        <v>2442.2000000000003</v>
      </c>
      <c r="F6" s="115">
        <v>27.65</v>
      </c>
      <c r="G6" s="118">
        <f>F6*$D$2</f>
        <v>2765</v>
      </c>
      <c r="H6" s="110">
        <v>28.8</v>
      </c>
      <c r="I6" s="168">
        <f>H6*$D$2</f>
        <v>2880</v>
      </c>
      <c r="J6" s="114">
        <v>26</v>
      </c>
      <c r="K6" s="118">
        <f>J6*$D$2</f>
        <v>2600</v>
      </c>
      <c r="L6" s="114">
        <v>27</v>
      </c>
      <c r="M6" s="118">
        <f>L6*$D$2</f>
        <v>2700</v>
      </c>
      <c r="N6" s="114">
        <v>27.65</v>
      </c>
      <c r="O6" s="118">
        <f>N6*$D$2</f>
        <v>2765</v>
      </c>
      <c r="P6" s="114">
        <v>23.98</v>
      </c>
      <c r="Q6" s="168">
        <f>P6*$D$2</f>
        <v>2398</v>
      </c>
      <c r="R6" s="114">
        <f>834.6</f>
        <v>834.6</v>
      </c>
      <c r="S6" s="118">
        <f>R6*$R$1</f>
        <v>2759.9206349206352</v>
      </c>
      <c r="T6">
        <v>26.725999999999999</v>
      </c>
      <c r="U6" s="118">
        <f>T6*$D$2</f>
        <v>2672.6</v>
      </c>
      <c r="V6">
        <v>26.518000000000001</v>
      </c>
      <c r="W6" s="118">
        <f>V6*$D$2</f>
        <v>2651.8</v>
      </c>
      <c r="X6">
        <v>23.475999999999999</v>
      </c>
      <c r="Y6" s="118">
        <f>X6*$D$2</f>
        <v>2347.6</v>
      </c>
      <c r="Z6" s="164">
        <f>D6/Реактивы!O3</f>
        <v>7.5749303621169917</v>
      </c>
      <c r="AA6" s="166"/>
      <c r="AB6">
        <v>64.55</v>
      </c>
      <c r="AC6">
        <v>65.849999999999994</v>
      </c>
      <c r="AE6" s="186">
        <f>$AE$5*AVERAGE(AB6:AC6)</f>
        <v>2759.9206349206352</v>
      </c>
      <c r="AF6" s="187" t="s">
        <v>125</v>
      </c>
      <c r="AG6" s="188">
        <f>'Рецепт 2-компонентный'!B14</f>
        <v>1320</v>
      </c>
    </row>
    <row r="7" spans="1:45" ht="18">
      <c r="B7">
        <v>2</v>
      </c>
      <c r="C7" s="363" t="s">
        <v>450</v>
      </c>
      <c r="D7" s="125">
        <f>$D$2*VLOOKUP(B7,Расчеты1!A17:E35,5)*VLOOKUP($C$7,Реактивы!$Q$1:$R$2,2)</f>
        <v>692.69999999999993</v>
      </c>
      <c r="E7" s="168"/>
      <c r="F7" s="115">
        <v>6.95</v>
      </c>
      <c r="G7" s="118">
        <f>F7*$D$2*VLOOKUP($C$7,Реактивы!$Q$1:$R$2,2)</f>
        <v>695</v>
      </c>
      <c r="H7" s="110"/>
      <c r="I7" s="168"/>
      <c r="J7" s="114">
        <v>6.58</v>
      </c>
      <c r="K7" s="118">
        <f>J7*$D$2*VLOOKUP($C$7,Реактивы!$Q$1:$R$2,2)</f>
        <v>658</v>
      </c>
      <c r="L7" s="114">
        <v>6.8</v>
      </c>
      <c r="M7" s="118">
        <f>L7*$D$2*VLOOKUP($C$7,Реактивы!$Q$1:$R$2,2)</f>
        <v>680</v>
      </c>
      <c r="N7" s="114">
        <v>7.06</v>
      </c>
      <c r="O7" s="118">
        <f>N7*$D$2*VLOOKUP($C$7,Реактивы!$Q$1:$R$2,2)</f>
        <v>706</v>
      </c>
      <c r="P7" s="114"/>
      <c r="Q7" s="168"/>
      <c r="R7" s="114">
        <v>208.65</v>
      </c>
      <c r="S7" s="118">
        <f>R7*$R$1*VLOOKUP($C$7,Реактивы!$Q$1:$R$2,2)</f>
        <v>689.98015873015879</v>
      </c>
      <c r="T7">
        <f>3.248</f>
        <v>3.2480000000000002</v>
      </c>
      <c r="U7" s="118">
        <f>T7*$D$2/(1-Реактивы!$N$4)*VLOOKUP($C$7,Реактивы!$Q$1:$R$2,2)</f>
        <v>665.03462154492354</v>
      </c>
      <c r="V7">
        <v>3.3050000000000002</v>
      </c>
      <c r="W7" s="118">
        <f>V7*$D$2*VLOOKUP($C$7,Реактивы!$Q$1:$R$2,2)/(1-Реактивы!$N$4)</f>
        <v>676.70548774814415</v>
      </c>
      <c r="X7">
        <v>3.9169999999999998</v>
      </c>
      <c r="Y7" s="118">
        <f>X7*$D$2*VLOOKUP($C$7,Реактивы!$Q$1:$R$2,2)/(1-Реактивы!$N$4)</f>
        <v>802.01373540377631</v>
      </c>
      <c r="Z7" s="181">
        <f>D7/Реактивы!O4</f>
        <v>1.0515974782891155</v>
      </c>
      <c r="AB7">
        <v>16.14</v>
      </c>
      <c r="AC7">
        <v>16.46</v>
      </c>
      <c r="AE7" s="186">
        <f t="shared" ref="AE7:AE22" si="1">$AE$5*AVERAGE(AB7:AC7)</f>
        <v>689.98015873015891</v>
      </c>
      <c r="AF7" s="187" t="s">
        <v>470</v>
      </c>
      <c r="AG7" s="188">
        <f>'Рецепт 2-компонентный'!B15</f>
        <v>700</v>
      </c>
      <c r="AH7" s="164"/>
      <c r="AI7" s="183"/>
      <c r="AJ7" s="183">
        <f>SUM(AJ8:AJ16)</f>
        <v>5898</v>
      </c>
      <c r="AK7" s="164">
        <f>D6-AJ7</f>
        <v>-3178.6</v>
      </c>
    </row>
    <row r="8" spans="1:45" ht="18">
      <c r="A8" s="164">
        <f>E8/Реактивы!O5</f>
        <v>1.6439999661558908</v>
      </c>
      <c r="B8">
        <v>3</v>
      </c>
      <c r="C8" s="363" t="s">
        <v>433</v>
      </c>
      <c r="D8" s="125">
        <f>$D$2*VLOOKUP(B8,Расчеты1!A18:E36,5)*VLOOKUP($C$8,Реактивы!$Q$3:$R$4,2)</f>
        <v>599.30000000000007</v>
      </c>
      <c r="E8" s="168">
        <f>$D$2*VLOOKUP(B8,Расчеты2!A18:E36,5)*VLOOKUP($C$8,Реактивы!$Q$3:$R$4,2)</f>
        <v>1091.6000000000001</v>
      </c>
      <c r="F8" s="115">
        <v>5.45</v>
      </c>
      <c r="G8" s="118">
        <f>F8*$D$2*VLOOKUP($C$8,Реактивы!$Q$3:$R$4,2)</f>
        <v>545</v>
      </c>
      <c r="H8" s="110">
        <v>8.9673515511772983</v>
      </c>
      <c r="I8" s="168">
        <f>H8*$D$2*VLOOKUP($C$8,Реактивы!$Q$3:$R$4,2)</f>
        <v>896.73515511772985</v>
      </c>
      <c r="J8" s="114">
        <v>4.88</v>
      </c>
      <c r="K8" s="118">
        <f>J8*$D$2*VLOOKUP($C$8,Реактивы!$Q$3:$R$4,2)</f>
        <v>488</v>
      </c>
      <c r="L8" s="114">
        <v>5.3</v>
      </c>
      <c r="M8" s="118">
        <f>L8*$D$2*VLOOKUP($C$8,Реактивы!$Q$3:$R$4,2)</f>
        <v>530</v>
      </c>
      <c r="N8" s="114">
        <v>5.18</v>
      </c>
      <c r="O8" s="118">
        <f>N8*$D$2*VLOOKUP($C$8,Реактивы!$Q$3:$R$4,2)</f>
        <v>518</v>
      </c>
      <c r="P8" s="115">
        <v>10.737335940683483</v>
      </c>
      <c r="Q8" s="168">
        <f>P8*$D$2*VLOOKUP($C$8,Реактивы!$Q$3:$R$4,2)</f>
        <v>1073.7335940683483</v>
      </c>
      <c r="R8" s="115">
        <v>163.29</v>
      </c>
      <c r="S8" s="118">
        <f>R8*$R$1*VLOOKUP($C$8,Реактивы!$Q$3:$R$4,2)</f>
        <v>539.98015873015868</v>
      </c>
      <c r="T8" s="141">
        <f>2.26/(1-Реактивы!N5)</f>
        <v>4.8252891680144501</v>
      </c>
      <c r="U8" s="118">
        <f>T8*$D$2*VLOOKUP($C$8,Реактивы!$Q$3:$R$4,2)</f>
        <v>482.52891680144501</v>
      </c>
      <c r="V8">
        <f>2.447/Реактивы!R3</f>
        <v>5.2245498204121068</v>
      </c>
      <c r="W8" s="118">
        <f>V8*$D$2*VLOOKUP($C$8,Реактивы!$Q$3:$R$4,2)</f>
        <v>522.45498204121066</v>
      </c>
      <c r="X8">
        <v>4.9809999999999999</v>
      </c>
      <c r="Y8" s="118">
        <f>X8*$D$2*VLOOKUP($C$8,Реактивы!$Q$3:$R$4,2)</f>
        <v>498.09999999999997</v>
      </c>
      <c r="Z8" s="164">
        <f>D8/Реактивы!O5</f>
        <v>0.90257345155480517</v>
      </c>
      <c r="AB8">
        <v>12.67</v>
      </c>
      <c r="AC8">
        <v>12.93</v>
      </c>
      <c r="AE8" s="186">
        <f t="shared" si="1"/>
        <v>541.82490992306964</v>
      </c>
      <c r="AF8" s="187" t="s">
        <v>471</v>
      </c>
      <c r="AG8" s="188">
        <f>'Рецепт 2-компонентный'!B16</f>
        <v>20</v>
      </c>
      <c r="AJ8">
        <v>980</v>
      </c>
    </row>
    <row r="9" spans="1:45" ht="18">
      <c r="A9" s="164">
        <f>E9/Реактивы!O6</f>
        <v>2.6107044154171835</v>
      </c>
      <c r="B9">
        <v>4</v>
      </c>
      <c r="C9" s="146" t="s">
        <v>451</v>
      </c>
      <c r="D9" s="125"/>
      <c r="E9" s="168">
        <f>$D$2*VLOOKUP(B9,Расчеты2!A19:E37,5)*VLOOKUP($C$9,Реактивы!$Q$5:$R$6,2)</f>
        <v>761.1</v>
      </c>
      <c r="F9" s="115"/>
      <c r="G9" s="118"/>
      <c r="H9" s="114">
        <f>4.56/Реактивы!R5</f>
        <v>10.342906931228404</v>
      </c>
      <c r="I9" s="168">
        <f>H9*$D$2*VLOOKUP($C$9,Реактивы!$Q$5:$R$6,2)</f>
        <v>1034.2906931228404</v>
      </c>
      <c r="J9" s="114"/>
      <c r="K9" s="118"/>
      <c r="L9" s="114"/>
      <c r="M9" s="118"/>
      <c r="N9" s="114"/>
      <c r="O9" s="118"/>
      <c r="P9" s="114">
        <f>4.01/Реактивы!R5</f>
        <v>9.0954071917162072</v>
      </c>
      <c r="Q9" s="168">
        <f>P9*$D$2*VLOOKUP($C$9,Реактивы!$Q$5:$R$6,2)</f>
        <v>909.54071917162071</v>
      </c>
      <c r="R9" s="114"/>
      <c r="S9" s="118"/>
      <c r="T9" s="114"/>
      <c r="U9" s="118"/>
      <c r="V9" s="114"/>
      <c r="W9" s="118"/>
      <c r="X9" s="114"/>
      <c r="Y9" s="118"/>
      <c r="AE9" s="186"/>
      <c r="AF9" s="187" t="s">
        <v>472</v>
      </c>
      <c r="AG9" s="188">
        <f>'Рецепт 2-компонентный'!B17</f>
        <v>1.5</v>
      </c>
      <c r="AJ9">
        <v>993</v>
      </c>
    </row>
    <row r="10" spans="1:45">
      <c r="A10" s="164"/>
      <c r="B10">
        <v>5</v>
      </c>
      <c r="C10" s="364" t="s">
        <v>126</v>
      </c>
      <c r="D10" s="125">
        <f>$D$2*VLOOKUP(B10,Расчеты1!A20:E38,5)</f>
        <v>73.900000000000006</v>
      </c>
      <c r="E10" s="168"/>
      <c r="F10" s="115">
        <v>0.65500000000000003</v>
      </c>
      <c r="G10" s="110">
        <f>F10*$D$2</f>
        <v>65.5</v>
      </c>
      <c r="H10" s="110">
        <v>0.75</v>
      </c>
      <c r="I10" s="168">
        <f>H10*$D$2</f>
        <v>75</v>
      </c>
      <c r="J10" s="114">
        <v>0.68</v>
      </c>
      <c r="K10" s="118">
        <f>J10*$D$2</f>
        <v>68</v>
      </c>
      <c r="L10" s="114">
        <v>0.7</v>
      </c>
      <c r="M10" s="118">
        <f>L10*$D$2</f>
        <v>70</v>
      </c>
      <c r="N10" s="115">
        <v>0.69699999999999995</v>
      </c>
      <c r="O10" s="118">
        <f>N10*$D$2</f>
        <v>69.699999999999989</v>
      </c>
      <c r="P10" s="115">
        <v>0.69899999999999995</v>
      </c>
      <c r="Q10" s="168">
        <f t="shared" ref="Q10:Q15" si="2">P10*$D$2</f>
        <v>69.899999999999991</v>
      </c>
      <c r="R10" s="115">
        <v>18.14</v>
      </c>
      <c r="S10" s="118">
        <f>R10*$R$1</f>
        <v>59.986772486772487</v>
      </c>
      <c r="T10">
        <v>0.72099999999999997</v>
      </c>
      <c r="U10" s="118">
        <f>T10*$D$2</f>
        <v>72.099999999999994</v>
      </c>
      <c r="V10" s="114">
        <v>0.72499999999999998</v>
      </c>
      <c r="W10" s="118">
        <f>V10*$D$2</f>
        <v>72.5</v>
      </c>
      <c r="X10" s="114">
        <v>0.66400000000000003</v>
      </c>
      <c r="Y10" s="118">
        <f>X10*$D$2</f>
        <v>66.400000000000006</v>
      </c>
      <c r="Z10" s="181">
        <f>D10/Реактивы!O7</f>
        <v>0.2154518950437318</v>
      </c>
      <c r="AB10">
        <v>1.72</v>
      </c>
      <c r="AC10">
        <v>1.76</v>
      </c>
      <c r="AE10" s="186">
        <f t="shared" si="1"/>
        <v>73.654323692667276</v>
      </c>
      <c r="AF10" s="189"/>
      <c r="AG10" s="190"/>
      <c r="AJ10">
        <v>995</v>
      </c>
    </row>
    <row r="11" spans="1:45" ht="18">
      <c r="A11" s="164">
        <f>E11/Реактивы!O8</f>
        <v>0.79800000000000015</v>
      </c>
      <c r="B11">
        <v>6</v>
      </c>
      <c r="C11" s="95" t="s">
        <v>434</v>
      </c>
      <c r="D11" s="125"/>
      <c r="E11" s="168">
        <f>$D$2*VLOOKUP(B11,Расчеты2!A21:E39,5)</f>
        <v>79.800000000000011</v>
      </c>
      <c r="F11" s="115"/>
      <c r="G11" s="110"/>
      <c r="H11" s="110"/>
      <c r="I11" s="168"/>
      <c r="J11" s="114"/>
      <c r="K11" s="118"/>
      <c r="L11" s="114"/>
      <c r="M11" s="118"/>
      <c r="N11" s="115"/>
      <c r="O11" s="110"/>
      <c r="P11" s="115"/>
      <c r="Q11" s="169"/>
      <c r="R11" s="115"/>
      <c r="S11" s="118"/>
      <c r="T11" s="114"/>
      <c r="U11" s="118"/>
      <c r="V11" s="114"/>
      <c r="W11" s="118"/>
      <c r="X11" s="114"/>
      <c r="Y11" s="118"/>
      <c r="AE11" s="186"/>
      <c r="AF11" s="218" t="str">
        <f>'Рецепт 2-компонентный'!A19</f>
        <v>B</v>
      </c>
      <c r="AG11" s="219"/>
      <c r="AJ11">
        <v>979</v>
      </c>
    </row>
    <row r="12" spans="1:45" ht="18">
      <c r="A12" s="181">
        <f>E12/Реактивы!O9</f>
        <v>0.1875</v>
      </c>
      <c r="B12">
        <v>7</v>
      </c>
      <c r="C12" s="364" t="s">
        <v>312</v>
      </c>
      <c r="D12" s="125">
        <f>$D$2*VLOOKUP(B12,Расчеты1!A22:E40,5)</f>
        <v>20</v>
      </c>
      <c r="E12" s="168">
        <f>$D$2*VLOOKUP(B12,Расчеты2!A22:E40,5)</f>
        <v>18</v>
      </c>
      <c r="F12" s="115">
        <v>0.21</v>
      </c>
      <c r="G12" s="118">
        <f>F12*$D$2</f>
        <v>21</v>
      </c>
      <c r="H12" s="110">
        <v>0.24</v>
      </c>
      <c r="I12" s="168">
        <f>H12*$D$2</f>
        <v>24</v>
      </c>
      <c r="J12" s="114">
        <v>0.18</v>
      </c>
      <c r="K12" s="118">
        <f>J12*$D$2</f>
        <v>18</v>
      </c>
      <c r="L12" s="114">
        <v>0.2</v>
      </c>
      <c r="M12" s="118">
        <f>L12*$D$2</f>
        <v>20</v>
      </c>
      <c r="N12" s="115">
        <v>0.14299999999999999</v>
      </c>
      <c r="O12" s="110">
        <f>N12*$D$2</f>
        <v>14.299999999999999</v>
      </c>
      <c r="P12" s="115">
        <v>0.17199999999999999</v>
      </c>
      <c r="Q12" s="169">
        <f t="shared" si="2"/>
        <v>17.2</v>
      </c>
      <c r="R12" s="115">
        <v>6.35</v>
      </c>
      <c r="S12" s="118">
        <f>R12*$R$1</f>
        <v>20.998677248677247</v>
      </c>
      <c r="T12" s="115">
        <v>0.19800000000000001</v>
      </c>
      <c r="U12" s="118">
        <f>T12*$D$2</f>
        <v>19.8</v>
      </c>
      <c r="V12">
        <v>0.20200000000000001</v>
      </c>
      <c r="W12" s="118">
        <f>V12*$D$2</f>
        <v>20.200000000000003</v>
      </c>
      <c r="X12">
        <v>0.192</v>
      </c>
      <c r="Y12" s="110">
        <f>X12*$D$2</f>
        <v>19.2</v>
      </c>
      <c r="Z12" s="181">
        <f>E12/Реактивы!O9</f>
        <v>0.1875</v>
      </c>
      <c r="AB12">
        <v>0.495</v>
      </c>
      <c r="AC12">
        <v>0.505</v>
      </c>
      <c r="AE12" s="186">
        <f t="shared" si="1"/>
        <v>21.165035543869905</v>
      </c>
      <c r="AF12" s="187" t="s">
        <v>125</v>
      </c>
      <c r="AG12" s="188">
        <f>'Рецепт 2-компонентный'!B20</f>
        <v>1400</v>
      </c>
      <c r="AJ12">
        <v>981</v>
      </c>
    </row>
    <row r="13" spans="1:45" ht="18">
      <c r="B13">
        <v>8</v>
      </c>
      <c r="C13" s="95" t="s">
        <v>355</v>
      </c>
      <c r="D13" s="125"/>
      <c r="E13" s="168"/>
      <c r="F13" s="115"/>
      <c r="G13" s="118"/>
      <c r="H13" s="110"/>
      <c r="I13" s="168"/>
      <c r="J13" s="114"/>
      <c r="K13" s="118"/>
      <c r="L13" s="114"/>
      <c r="M13" s="118"/>
      <c r="N13" s="115">
        <v>3.5000000000000003E-2</v>
      </c>
      <c r="O13" s="110">
        <f>N13*$D$2</f>
        <v>3.5000000000000004</v>
      </c>
      <c r="P13" s="115"/>
      <c r="Q13" s="169">
        <f t="shared" si="2"/>
        <v>0</v>
      </c>
      <c r="R13" s="115"/>
      <c r="S13" s="118"/>
      <c r="T13" s="114"/>
      <c r="U13" s="118"/>
      <c r="V13" s="114"/>
      <c r="W13" s="118"/>
      <c r="X13" s="114"/>
      <c r="Y13" s="118"/>
      <c r="AE13" s="186"/>
      <c r="AF13" s="187" t="s">
        <v>474</v>
      </c>
      <c r="AG13" s="188">
        <f>'Рецепт 2-компонентный'!B21</f>
        <v>500</v>
      </c>
      <c r="AJ13">
        <v>990</v>
      </c>
    </row>
    <row r="14" spans="1:45">
      <c r="B14">
        <v>9</v>
      </c>
      <c r="C14" s="364" t="s">
        <v>127</v>
      </c>
      <c r="D14" s="125">
        <f>$D$2*VLOOKUP(B14,Расчеты1!A24:E42,5)</f>
        <v>9.8000000000000007</v>
      </c>
      <c r="E14" s="168">
        <f>$D$2*VLOOKUP(B14,Расчеты2!A24:E42,5)</f>
        <v>10</v>
      </c>
      <c r="F14" s="115">
        <v>2.7E-2</v>
      </c>
      <c r="G14" s="118">
        <v>10</v>
      </c>
      <c r="H14" s="110">
        <v>0.12</v>
      </c>
      <c r="I14" s="168">
        <f>H14*$D$2</f>
        <v>12</v>
      </c>
      <c r="J14" s="114">
        <v>0.1</v>
      </c>
      <c r="K14" s="118">
        <f>J14*$D$2</f>
        <v>10</v>
      </c>
      <c r="L14" s="114"/>
      <c r="M14" s="118"/>
      <c r="N14" s="115">
        <v>0.10199999999999999</v>
      </c>
      <c r="O14" s="110">
        <f>N14*$D$2</f>
        <v>10.199999999999999</v>
      </c>
      <c r="P14" s="115">
        <v>0.1</v>
      </c>
      <c r="Q14" s="169">
        <f t="shared" si="2"/>
        <v>10</v>
      </c>
      <c r="R14" s="115"/>
      <c r="S14" s="118"/>
      <c r="T14" s="114">
        <f>0.058/0.86</f>
        <v>6.7441860465116285E-2</v>
      </c>
      <c r="U14" s="110">
        <f>T14*$D$2</f>
        <v>6.7441860465116283</v>
      </c>
      <c r="V14" s="114">
        <f>0.083/0.86</f>
        <v>9.6511627906976746E-2</v>
      </c>
      <c r="W14" s="110">
        <f>V14*$D$2</f>
        <v>9.6511627906976738</v>
      </c>
      <c r="X14" s="114">
        <v>9.6000000000000002E-2</v>
      </c>
      <c r="Y14" s="110">
        <f>X14*$D$2</f>
        <v>9.6</v>
      </c>
      <c r="AB14">
        <v>6.8400000000000002E-2</v>
      </c>
      <c r="AC14">
        <v>7.5600000000000001E-2</v>
      </c>
      <c r="AE14" s="186">
        <f t="shared" si="1"/>
        <v>3.0477651183172667</v>
      </c>
      <c r="AF14" s="187" t="s">
        <v>126</v>
      </c>
      <c r="AG14" s="188">
        <f>'Рецепт 2-компонентный'!B22</f>
        <v>14</v>
      </c>
      <c r="AJ14">
        <v>-20</v>
      </c>
    </row>
    <row r="15" spans="1:45" ht="18">
      <c r="A15" s="181">
        <f>E15/Реактивы!O12</f>
        <v>5.1334702258726897E-2</v>
      </c>
      <c r="B15">
        <v>10</v>
      </c>
      <c r="C15" s="364" t="s">
        <v>313</v>
      </c>
      <c r="D15" s="126">
        <f>$D$2*VLOOKUP(B15,Расчеты1!A25:E43,5)</f>
        <v>1.5</v>
      </c>
      <c r="E15" s="169">
        <f>$D$2*VLOOKUP(B15,Расчеты2!A25:E43,5)</f>
        <v>2.5</v>
      </c>
      <c r="F15" s="115"/>
      <c r="G15" s="110">
        <f>F14*$D$2</f>
        <v>2.7</v>
      </c>
      <c r="H15" s="110">
        <v>3.0000000000000001E-3</v>
      </c>
      <c r="I15" s="169">
        <f>H15*$D$2</f>
        <v>0.3</v>
      </c>
      <c r="J15" s="114">
        <v>0.03</v>
      </c>
      <c r="K15" s="110">
        <f>J15*$D$2</f>
        <v>3</v>
      </c>
      <c r="L15" s="115">
        <v>2.5000000000000001E-2</v>
      </c>
      <c r="M15" s="110">
        <f>L15*$D$2</f>
        <v>2.5</v>
      </c>
      <c r="N15" s="115">
        <v>2.5999999999999999E-2</v>
      </c>
      <c r="O15" s="110">
        <f>N15*$D$2</f>
        <v>2.6</v>
      </c>
      <c r="P15" s="115">
        <v>2.5399999999999999E-2</v>
      </c>
      <c r="Q15" s="169">
        <f t="shared" si="2"/>
        <v>2.54</v>
      </c>
      <c r="R15" s="115"/>
      <c r="S15" s="118"/>
      <c r="T15" s="114">
        <v>5.8000000000000003E-2</v>
      </c>
      <c r="U15" s="110">
        <f>T15*$D$2</f>
        <v>5.8000000000000007</v>
      </c>
      <c r="V15" s="114"/>
      <c r="W15" s="110">
        <f>V15*$D$2</f>
        <v>0</v>
      </c>
      <c r="X15" s="114">
        <v>2.5999999999999999E-2</v>
      </c>
      <c r="Y15" s="110">
        <f>X15*$D$2</f>
        <v>2.6</v>
      </c>
      <c r="AB15">
        <v>5.8900000000000001E-2</v>
      </c>
      <c r="AC15">
        <v>0.65100000000000002</v>
      </c>
      <c r="AE15" s="186">
        <f t="shared" si="1"/>
        <v>15.025058732593244</v>
      </c>
      <c r="AF15" s="187" t="s">
        <v>127</v>
      </c>
      <c r="AG15" s="188">
        <f>'Рецепт 2-компонентный'!B23</f>
        <v>10</v>
      </c>
    </row>
    <row r="16" spans="1:45" ht="18">
      <c r="B16">
        <v>11</v>
      </c>
      <c r="C16" s="364" t="s">
        <v>132</v>
      </c>
      <c r="D16" s="126">
        <f>$D$2*VLOOKUP(B16,Расчеты1!A26:E44,5)</f>
        <v>0.2</v>
      </c>
      <c r="E16" s="169">
        <f>$D$2*VLOOKUP(B16,Расчеты2!A26:E44,5)</f>
        <v>0.2</v>
      </c>
      <c r="F16" s="115"/>
      <c r="G16" s="110"/>
      <c r="H16" s="110"/>
      <c r="I16" s="168"/>
      <c r="J16" s="114"/>
      <c r="K16" s="118"/>
      <c r="L16" s="114"/>
      <c r="M16" s="110"/>
      <c r="N16" s="114"/>
      <c r="O16" s="110"/>
      <c r="P16" s="114"/>
      <c r="Q16" s="169"/>
      <c r="R16" s="114"/>
      <c r="S16" s="118"/>
      <c r="T16" s="114"/>
      <c r="U16" s="110"/>
      <c r="V16" s="114"/>
      <c r="W16" s="110"/>
      <c r="X16" s="114"/>
      <c r="Y16" s="110"/>
      <c r="AB16">
        <v>1.8E-3</v>
      </c>
      <c r="AC16">
        <v>2.2000000000000001E-3</v>
      </c>
      <c r="AD16" t="s">
        <v>339</v>
      </c>
      <c r="AE16" s="186">
        <f t="shared" si="1"/>
        <v>8.4660142175479625E-2</v>
      </c>
      <c r="AF16" s="187" t="s">
        <v>475</v>
      </c>
      <c r="AG16" s="188">
        <f>'Рецепт 2-компонентный'!B24</f>
        <v>155</v>
      </c>
    </row>
    <row r="17" spans="2:33" ht="18.75" thickBot="1">
      <c r="B17">
        <v>12</v>
      </c>
      <c r="C17" s="95" t="s">
        <v>337</v>
      </c>
      <c r="D17" s="125"/>
      <c r="E17" s="168"/>
      <c r="F17" s="115">
        <v>4.0000000000000001E-3</v>
      </c>
      <c r="G17" s="110">
        <f>F17*$D$2</f>
        <v>0.4</v>
      </c>
      <c r="H17" s="110"/>
      <c r="I17" s="168"/>
      <c r="J17" s="114"/>
      <c r="K17" s="118"/>
      <c r="L17" s="115">
        <v>4.0000000000000001E-3</v>
      </c>
      <c r="M17" s="110">
        <f>L17*$D$2</f>
        <v>0.4</v>
      </c>
      <c r="N17" s="115">
        <v>4.0000000000000001E-3</v>
      </c>
      <c r="O17" s="110">
        <f>N17*$D$2</f>
        <v>0.4</v>
      </c>
      <c r="P17" s="115">
        <v>4.0128216975245422E-3</v>
      </c>
      <c r="Q17" s="169">
        <f>P17*$D$2</f>
        <v>0.40128216975245423</v>
      </c>
      <c r="R17" s="115"/>
      <c r="S17" s="118"/>
      <c r="T17" s="114"/>
      <c r="U17" s="115"/>
      <c r="V17" s="114"/>
      <c r="W17" s="110"/>
      <c r="X17" s="114"/>
      <c r="Y17" s="110"/>
      <c r="AE17" s="186"/>
      <c r="AF17" s="191" t="s">
        <v>476</v>
      </c>
      <c r="AG17" s="192">
        <f>'Рецепт 2-компонентный'!B25</f>
        <v>4</v>
      </c>
    </row>
    <row r="18" spans="2:33">
      <c r="B18">
        <v>13</v>
      </c>
      <c r="C18" s="95" t="s">
        <v>359</v>
      </c>
      <c r="D18" s="125"/>
      <c r="E18" s="168"/>
      <c r="F18" s="115"/>
      <c r="G18" s="110"/>
      <c r="H18" s="110"/>
      <c r="I18" s="168"/>
      <c r="J18" s="114"/>
      <c r="K18" s="118"/>
      <c r="L18" s="115"/>
      <c r="M18" s="110"/>
      <c r="N18" s="115"/>
      <c r="O18" s="110"/>
      <c r="P18" s="115"/>
      <c r="Q18" s="169"/>
      <c r="R18" s="115"/>
      <c r="S18" s="118"/>
      <c r="T18" s="114"/>
      <c r="U18" s="110"/>
      <c r="V18" s="114"/>
      <c r="W18" s="110"/>
      <c r="X18" s="115">
        <v>3.0000000000000001E-3</v>
      </c>
      <c r="Y18" s="110">
        <f>X18*$D$2</f>
        <v>0.3</v>
      </c>
      <c r="AE18" s="186"/>
    </row>
    <row r="19" spans="2:33" ht="18.75" thickBot="1">
      <c r="B19">
        <v>14</v>
      </c>
      <c r="C19" s="95" t="s">
        <v>350</v>
      </c>
      <c r="D19" s="125"/>
      <c r="E19" s="168"/>
      <c r="F19" s="115"/>
      <c r="G19" s="110"/>
      <c r="H19" s="110">
        <v>8.0000000000000002E-3</v>
      </c>
      <c r="I19" s="169">
        <f>H19*$D$2</f>
        <v>0.8</v>
      </c>
      <c r="J19" s="114"/>
      <c r="K19" s="110"/>
      <c r="L19" s="114"/>
      <c r="M19" s="110"/>
      <c r="N19" s="114"/>
      <c r="O19" s="110"/>
      <c r="P19" s="114"/>
      <c r="Q19" s="169"/>
      <c r="R19" s="114"/>
      <c r="S19" s="118"/>
      <c r="T19" s="114">
        <v>2.3999999999999998E-3</v>
      </c>
      <c r="U19" s="110">
        <f>T19*$D$2</f>
        <v>0.24</v>
      </c>
      <c r="V19" s="114"/>
      <c r="W19" s="110"/>
      <c r="X19" s="114"/>
      <c r="Y19" s="110"/>
      <c r="AE19" s="186"/>
    </row>
    <row r="20" spans="2:33" ht="15.75" thickTop="1">
      <c r="C20" s="212" t="s">
        <v>322</v>
      </c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5"/>
      <c r="AE20" s="186"/>
    </row>
    <row r="21" spans="2:33" ht="18">
      <c r="B21">
        <v>15</v>
      </c>
      <c r="C21" s="95" t="s">
        <v>314</v>
      </c>
      <c r="D21" s="125">
        <f>$D$2*VLOOKUP(B21,Расчеты1!A29:E47,5)</f>
        <v>161.4</v>
      </c>
      <c r="E21" s="118">
        <f>$D$2*VLOOKUP(B21,Расчеты1!A29:E47,5)</f>
        <v>161.4</v>
      </c>
      <c r="F21" s="115">
        <v>1.65</v>
      </c>
      <c r="G21" s="118">
        <f>F21*$D$2</f>
        <v>165</v>
      </c>
      <c r="H21" s="110">
        <v>1.32</v>
      </c>
      <c r="I21" s="118">
        <f>H21*$D$2</f>
        <v>132</v>
      </c>
      <c r="J21" s="114">
        <v>1.46</v>
      </c>
      <c r="K21" s="118">
        <f>J21*$D$2</f>
        <v>146</v>
      </c>
      <c r="L21" s="114">
        <v>1.1499999999999999</v>
      </c>
      <c r="M21" s="118">
        <f>L21*$D$2</f>
        <v>114.99999999999999</v>
      </c>
      <c r="N21" s="114">
        <v>1.54</v>
      </c>
      <c r="O21" s="118">
        <f>N21*$D$2</f>
        <v>154</v>
      </c>
      <c r="P21" s="114">
        <v>1.1399999999999999</v>
      </c>
      <c r="Q21" s="118">
        <f>P21*$D$2</f>
        <v>113.99999999999999</v>
      </c>
      <c r="R21" s="114">
        <v>41.73</v>
      </c>
      <c r="S21" s="118">
        <f>R21*R1</f>
        <v>137.99603174603175</v>
      </c>
      <c r="T21">
        <v>1.153</v>
      </c>
      <c r="U21" s="118">
        <f>T21*$D$2</f>
        <v>115.3</v>
      </c>
      <c r="V21">
        <v>1.141</v>
      </c>
      <c r="W21" s="118">
        <f>V21*$D$2</f>
        <v>114.1</v>
      </c>
      <c r="X21">
        <v>1.1020000000000001</v>
      </c>
      <c r="Y21" s="118">
        <f>X21*$D$2</f>
        <v>110.2</v>
      </c>
      <c r="AB21">
        <v>3.23</v>
      </c>
      <c r="AC21">
        <v>3.29</v>
      </c>
      <c r="AE21" s="186">
        <f t="shared" si="1"/>
        <v>137.99603174603178</v>
      </c>
    </row>
    <row r="22" spans="2:33" ht="18">
      <c r="B22">
        <v>16</v>
      </c>
      <c r="C22" s="95" t="s">
        <v>315</v>
      </c>
      <c r="D22" s="366">
        <f>$D$2*VLOOKUP(B22,Расчеты1!A30:E48,5)</f>
        <v>4</v>
      </c>
      <c r="E22" s="110">
        <f>$D$2*VLOOKUP(B22,Расчеты1!A30:E48,5)</f>
        <v>4</v>
      </c>
      <c r="F22" s="115">
        <v>2.3800000000000002E-2</v>
      </c>
      <c r="G22" s="114">
        <f>F22*$D$2</f>
        <v>2.3800000000000003</v>
      </c>
      <c r="H22" s="110"/>
      <c r="I22" s="118"/>
      <c r="J22" s="110"/>
      <c r="K22" s="118"/>
      <c r="L22" s="115">
        <v>2.4E-2</v>
      </c>
      <c r="M22" s="110">
        <f>L22*$D$2</f>
        <v>2.4</v>
      </c>
      <c r="N22" s="115">
        <v>2.5000000000000001E-2</v>
      </c>
      <c r="O22" s="110">
        <f>N22*$D$2</f>
        <v>2.5</v>
      </c>
      <c r="P22" s="115">
        <v>1.43E-2</v>
      </c>
      <c r="Q22" s="110">
        <f>P22*$D$2</f>
        <v>1.43</v>
      </c>
      <c r="R22" s="115"/>
      <c r="S22" s="110"/>
      <c r="T22" s="115"/>
      <c r="U22" s="110">
        <f>T22*$D$2</f>
        <v>0</v>
      </c>
      <c r="V22" s="115"/>
      <c r="W22" s="110">
        <f>V22*$D$2</f>
        <v>0</v>
      </c>
      <c r="X22" s="115">
        <v>2.4E-2</v>
      </c>
      <c r="Y22" s="110">
        <f>X22*$D$2</f>
        <v>2.4</v>
      </c>
      <c r="AB22">
        <v>4.4600000000000001E-2</v>
      </c>
      <c r="AC22">
        <v>4.9399999999999999E-2</v>
      </c>
      <c r="AE22" s="186">
        <f t="shared" si="1"/>
        <v>1.9895133411237711</v>
      </c>
    </row>
    <row r="23" spans="2:33" ht="18.75" thickBot="1">
      <c r="B23">
        <v>17</v>
      </c>
      <c r="C23" s="111" t="s">
        <v>349</v>
      </c>
      <c r="D23" s="367">
        <f>Реактивы!P18</f>
        <v>2.2149408266268171</v>
      </c>
      <c r="E23" s="115"/>
      <c r="F23" s="112"/>
      <c r="G23" s="112"/>
      <c r="H23" s="110">
        <v>8.0000000000000002E-3</v>
      </c>
      <c r="I23" s="110">
        <f>H23*$D$2</f>
        <v>0.8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2:33" ht="15.75" thickTop="1">
      <c r="C24" s="212" t="s">
        <v>323</v>
      </c>
      <c r="D24" s="213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5"/>
    </row>
    <row r="25" spans="2:33" s="92" customFormat="1">
      <c r="B25" s="92">
        <v>18</v>
      </c>
      <c r="C25" s="95" t="s">
        <v>338</v>
      </c>
      <c r="D25" s="122">
        <f>$D$2*Микроэлементы!B25</f>
        <v>16.694646074646073</v>
      </c>
      <c r="E25" s="115"/>
      <c r="F25" s="115">
        <v>1.49E-2</v>
      </c>
      <c r="G25" s="110">
        <f>F25*10*$D$2</f>
        <v>14.899999999999999</v>
      </c>
      <c r="H25" s="110"/>
      <c r="I25" s="118"/>
      <c r="J25" s="110"/>
      <c r="K25" s="118"/>
      <c r="L25" s="114">
        <v>0.05</v>
      </c>
      <c r="M25" s="118">
        <f t="shared" ref="M25:M42" si="3">L25*$D$2</f>
        <v>5</v>
      </c>
      <c r="N25" s="114"/>
      <c r="O25" s="110"/>
      <c r="P25" s="114"/>
      <c r="Q25" s="110"/>
      <c r="R25" s="114"/>
      <c r="S25" s="110"/>
      <c r="T25" s="114"/>
      <c r="U25" s="118"/>
      <c r="V25" s="114"/>
      <c r="W25" s="118"/>
      <c r="X25" s="114"/>
      <c r="Y25" s="118"/>
      <c r="AF25"/>
      <c r="AG25"/>
    </row>
    <row r="26" spans="2:33" s="92" customFormat="1">
      <c r="B26" s="149">
        <v>19</v>
      </c>
      <c r="C26" s="95" t="s">
        <v>339</v>
      </c>
      <c r="D26" s="123"/>
      <c r="E26" s="115"/>
      <c r="F26" s="115">
        <v>9.9000000000000005E-2</v>
      </c>
      <c r="G26" s="118">
        <f t="shared" ref="G26:G44" si="4">F26*10*$D$2</f>
        <v>99</v>
      </c>
      <c r="H26" s="110"/>
      <c r="I26" s="118"/>
      <c r="J26" s="110"/>
      <c r="K26" s="118"/>
      <c r="L26" s="110">
        <v>0.9</v>
      </c>
      <c r="M26" s="118">
        <f t="shared" si="3"/>
        <v>90</v>
      </c>
      <c r="N26" s="110"/>
      <c r="O26" s="110"/>
      <c r="P26" s="110"/>
      <c r="Q26" s="110"/>
      <c r="R26" s="110"/>
      <c r="S26" s="110"/>
      <c r="T26" s="110"/>
      <c r="U26" s="118"/>
      <c r="V26" s="110"/>
      <c r="W26" s="118"/>
      <c r="X26" s="110"/>
      <c r="Y26" s="118"/>
      <c r="AF26"/>
      <c r="AG26"/>
    </row>
    <row r="27" spans="2:33" ht="18">
      <c r="B27" s="92">
        <v>20</v>
      </c>
      <c r="C27" s="95" t="s">
        <v>328</v>
      </c>
      <c r="D27" s="122">
        <f>$D$2*Микроэлементы!B16</f>
        <v>4.8783704048561249</v>
      </c>
      <c r="E27" s="115"/>
      <c r="F27" s="115"/>
      <c r="G27" s="119"/>
      <c r="H27" s="110"/>
      <c r="I27" s="118"/>
      <c r="J27" s="110"/>
      <c r="K27" s="118"/>
      <c r="L27" s="110"/>
      <c r="M27" s="118"/>
      <c r="N27" s="110"/>
      <c r="O27" s="110"/>
      <c r="P27" s="110"/>
      <c r="Q27" s="110"/>
      <c r="R27" s="110"/>
      <c r="S27" s="110"/>
      <c r="T27" s="110"/>
      <c r="U27" s="118"/>
      <c r="V27" s="110"/>
      <c r="W27" s="118"/>
      <c r="X27" s="110"/>
      <c r="Y27" s="118"/>
    </row>
    <row r="28" spans="2:33">
      <c r="B28" s="149">
        <v>21</v>
      </c>
      <c r="C28" s="95" t="str">
        <f>Микроэлементы!A17</f>
        <v>C12H22FeO14</v>
      </c>
      <c r="D28" s="169">
        <f>$D$2*Микроэлементы!B17</f>
        <v>7.8286008559098965</v>
      </c>
      <c r="E28" s="115"/>
      <c r="F28" s="115"/>
      <c r="G28" s="118"/>
      <c r="H28" s="110"/>
      <c r="I28" s="118"/>
      <c r="J28" s="110"/>
      <c r="K28" s="118"/>
      <c r="L28" s="110"/>
      <c r="M28" s="118"/>
      <c r="N28" s="110"/>
      <c r="O28" s="110"/>
      <c r="P28" s="110"/>
      <c r="Q28" s="110"/>
      <c r="R28" s="110"/>
      <c r="S28" s="110"/>
      <c r="T28" s="110"/>
      <c r="U28" s="118"/>
      <c r="V28" s="110"/>
      <c r="W28" s="118"/>
      <c r="X28" s="110"/>
      <c r="Y28" s="118"/>
    </row>
    <row r="29" spans="2:33" ht="18">
      <c r="B29" s="92">
        <v>22</v>
      </c>
      <c r="C29" s="95" t="s">
        <v>343</v>
      </c>
      <c r="D29" s="122"/>
      <c r="E29" s="115"/>
      <c r="F29" s="115">
        <v>5.7000000000000002E-2</v>
      </c>
      <c r="G29" s="118">
        <f t="shared" si="4"/>
        <v>57.000000000000007</v>
      </c>
      <c r="H29" s="110"/>
      <c r="I29" s="118"/>
      <c r="J29" s="110"/>
      <c r="K29" s="118"/>
      <c r="L29" s="110"/>
      <c r="M29" s="118"/>
      <c r="N29" s="110"/>
      <c r="O29" s="110"/>
      <c r="P29" s="110"/>
      <c r="Q29" s="110"/>
      <c r="R29" s="110"/>
      <c r="S29" s="110"/>
      <c r="T29" s="110"/>
      <c r="U29" s="118"/>
      <c r="V29" s="110"/>
      <c r="W29" s="118"/>
      <c r="X29" s="110"/>
      <c r="Y29" s="118"/>
    </row>
    <row r="30" spans="2:33" ht="18">
      <c r="B30" s="149">
        <v>23</v>
      </c>
      <c r="C30" s="95" t="s">
        <v>344</v>
      </c>
      <c r="D30" s="122"/>
      <c r="E30" s="115"/>
      <c r="F30" s="115">
        <v>0.05</v>
      </c>
      <c r="G30" s="118">
        <f t="shared" si="4"/>
        <v>50</v>
      </c>
      <c r="H30" s="110"/>
      <c r="I30" s="118"/>
      <c r="J30" s="110"/>
      <c r="K30" s="118"/>
      <c r="L30" s="110"/>
      <c r="M30" s="118"/>
      <c r="N30" s="110"/>
      <c r="O30" s="110"/>
      <c r="P30" s="110"/>
      <c r="Q30" s="110"/>
      <c r="R30" s="110"/>
      <c r="S30" s="110"/>
      <c r="T30" s="110"/>
      <c r="U30" s="118"/>
      <c r="V30" s="110"/>
      <c r="W30" s="118"/>
      <c r="X30" s="110"/>
      <c r="Y30" s="118"/>
    </row>
    <row r="31" spans="2:33" ht="18">
      <c r="B31" s="92">
        <v>24</v>
      </c>
      <c r="C31" s="95" t="s">
        <v>345</v>
      </c>
      <c r="D31" s="122"/>
      <c r="E31" s="115"/>
      <c r="F31" s="115">
        <v>8.9999999999999993E-3</v>
      </c>
      <c r="G31" s="118">
        <f t="shared" si="4"/>
        <v>9</v>
      </c>
      <c r="H31" s="110"/>
      <c r="I31" s="118"/>
      <c r="J31" s="110"/>
      <c r="K31" s="118"/>
      <c r="L31" s="110"/>
      <c r="M31" s="118"/>
      <c r="N31" s="110"/>
      <c r="O31" s="110"/>
      <c r="P31" s="110"/>
      <c r="Q31" s="110"/>
      <c r="R31" s="110"/>
      <c r="S31" s="110"/>
      <c r="T31" s="110"/>
      <c r="U31" s="118"/>
      <c r="V31" s="110"/>
      <c r="W31" s="118"/>
      <c r="X31" s="110"/>
      <c r="Y31" s="118"/>
    </row>
    <row r="32" spans="2:33" ht="18">
      <c r="B32" s="149">
        <v>25</v>
      </c>
      <c r="C32" s="95" t="s">
        <v>466</v>
      </c>
      <c r="D32" s="122"/>
      <c r="E32" s="115"/>
      <c r="F32" s="115">
        <v>0.129</v>
      </c>
      <c r="G32" s="118">
        <f t="shared" si="4"/>
        <v>129</v>
      </c>
      <c r="H32" s="110"/>
      <c r="I32" s="118"/>
      <c r="J32" s="110"/>
      <c r="K32" s="118"/>
      <c r="L32" s="110"/>
      <c r="M32" s="118"/>
      <c r="N32" s="110"/>
      <c r="O32" s="110"/>
      <c r="P32" s="110"/>
      <c r="Q32" s="110"/>
      <c r="R32" s="110"/>
      <c r="S32" s="110"/>
      <c r="T32" s="110"/>
      <c r="U32" s="118"/>
      <c r="V32" s="110"/>
      <c r="W32" s="118"/>
      <c r="X32" s="110"/>
      <c r="Y32" s="118"/>
    </row>
    <row r="33" spans="2:25" ht="18">
      <c r="B33" s="92">
        <v>26</v>
      </c>
      <c r="C33" s="95" t="s">
        <v>346</v>
      </c>
      <c r="D33" s="122"/>
      <c r="E33" s="115"/>
      <c r="F33" s="115">
        <v>6.6000000000000003E-2</v>
      </c>
      <c r="G33" s="118">
        <f t="shared" si="4"/>
        <v>66</v>
      </c>
      <c r="H33" s="110"/>
      <c r="I33" s="118"/>
      <c r="J33" s="110"/>
      <c r="K33" s="118"/>
      <c r="L33" s="110">
        <v>1.5</v>
      </c>
      <c r="M33" s="118">
        <f t="shared" si="3"/>
        <v>150</v>
      </c>
      <c r="N33" s="110"/>
      <c r="O33" s="110"/>
      <c r="P33" s="110"/>
      <c r="Q33" s="110"/>
      <c r="R33" s="110"/>
      <c r="S33" s="110"/>
      <c r="T33" s="110"/>
      <c r="U33" s="118"/>
      <c r="V33" s="110"/>
      <c r="W33" s="118"/>
      <c r="X33" s="110"/>
      <c r="Y33" s="118"/>
    </row>
    <row r="34" spans="2:25" ht="18">
      <c r="B34" s="149">
        <v>27</v>
      </c>
      <c r="C34" s="95" t="s">
        <v>329</v>
      </c>
      <c r="D34" s="122">
        <f>$D$2*Микроэлементы!B18</f>
        <v>0.11787111698612028</v>
      </c>
      <c r="E34" s="117"/>
      <c r="F34" s="117">
        <v>9.8999999999999999E-4</v>
      </c>
      <c r="G34" s="114">
        <f t="shared" si="4"/>
        <v>0.98999999999999988</v>
      </c>
      <c r="H34" s="110"/>
      <c r="I34" s="118"/>
      <c r="J34" s="110"/>
      <c r="K34" s="118"/>
      <c r="L34" s="110">
        <v>0.1</v>
      </c>
      <c r="M34" s="118">
        <f t="shared" si="3"/>
        <v>10</v>
      </c>
      <c r="N34" s="110"/>
      <c r="O34" s="110"/>
      <c r="P34" s="110"/>
      <c r="Q34" s="110"/>
      <c r="R34" s="110"/>
      <c r="S34" s="110"/>
      <c r="T34" s="110"/>
      <c r="U34" s="118"/>
      <c r="V34" s="110"/>
      <c r="W34" s="118"/>
      <c r="X34" s="110"/>
      <c r="Y34" s="118"/>
    </row>
    <row r="35" spans="2:25" ht="18">
      <c r="B35" s="92">
        <v>28</v>
      </c>
      <c r="C35" s="95" t="s">
        <v>330</v>
      </c>
      <c r="D35" s="122">
        <f>$D$2*Микроэлементы!B19</f>
        <v>6.2554573326520186</v>
      </c>
      <c r="E35" s="115"/>
      <c r="F35" s="115"/>
      <c r="G35" s="114"/>
      <c r="H35" s="110"/>
      <c r="I35" s="118"/>
      <c r="J35" s="110"/>
      <c r="K35" s="118"/>
      <c r="L35" s="110"/>
      <c r="M35" s="118"/>
      <c r="N35" s="110"/>
      <c r="O35" s="110"/>
      <c r="P35" s="110"/>
      <c r="Q35" s="110"/>
      <c r="R35" s="110"/>
      <c r="S35" s="110"/>
      <c r="T35" s="110"/>
      <c r="U35" s="118"/>
      <c r="V35" s="110"/>
      <c r="W35" s="118"/>
      <c r="X35" s="110"/>
      <c r="Y35" s="118"/>
    </row>
    <row r="36" spans="2:25" ht="18">
      <c r="B36" s="149">
        <v>29</v>
      </c>
      <c r="C36" s="95" t="s">
        <v>331</v>
      </c>
      <c r="D36" s="122">
        <f>$D$2*Микроэлементы!B20</f>
        <v>4.7063206057824685</v>
      </c>
      <c r="E36" s="116"/>
      <c r="F36" s="116">
        <v>9.5999999999999992E-3</v>
      </c>
      <c r="G36" s="110">
        <f t="shared" si="4"/>
        <v>9.6</v>
      </c>
      <c r="H36" s="110"/>
      <c r="I36" s="118"/>
      <c r="J36" s="110"/>
      <c r="K36" s="118"/>
      <c r="L36" s="114">
        <v>0.03</v>
      </c>
      <c r="M36" s="118">
        <f t="shared" si="3"/>
        <v>3</v>
      </c>
      <c r="N36" s="114"/>
      <c r="O36" s="110"/>
      <c r="P36" s="114"/>
      <c r="Q36" s="110"/>
      <c r="R36" s="114"/>
      <c r="S36" s="110"/>
      <c r="T36" s="114"/>
      <c r="U36" s="118"/>
      <c r="V36" s="114"/>
      <c r="W36" s="118"/>
      <c r="X36" s="114"/>
      <c r="Y36" s="118"/>
    </row>
    <row r="37" spans="2:25" ht="18">
      <c r="B37" s="92">
        <v>30</v>
      </c>
      <c r="C37" s="95" t="s">
        <v>332</v>
      </c>
      <c r="D37" s="122">
        <f>$D$2*Микроэлементы!B21</f>
        <v>0.70757927117841912</v>
      </c>
      <c r="E37" s="115"/>
      <c r="F37" s="115">
        <v>0.39700000000000002</v>
      </c>
      <c r="G37" s="118">
        <f t="shared" si="4"/>
        <v>397</v>
      </c>
      <c r="H37" s="110"/>
      <c r="I37" s="118"/>
      <c r="J37" s="110"/>
      <c r="K37" s="118"/>
      <c r="L37" s="114">
        <v>3.9</v>
      </c>
      <c r="M37" s="118">
        <f t="shared" si="3"/>
        <v>390</v>
      </c>
      <c r="N37" s="114"/>
      <c r="O37" s="110"/>
      <c r="P37" s="114"/>
      <c r="Q37" s="110"/>
      <c r="R37" s="114"/>
      <c r="S37" s="110"/>
      <c r="T37" s="114"/>
      <c r="U37" s="118"/>
      <c r="V37" s="114"/>
      <c r="W37" s="118"/>
      <c r="X37" s="114"/>
      <c r="Y37" s="118"/>
    </row>
    <row r="38" spans="2:25" ht="18">
      <c r="B38" s="149">
        <v>31</v>
      </c>
      <c r="C38" s="95" t="s">
        <v>354</v>
      </c>
      <c r="D38" s="122"/>
      <c r="E38" s="115"/>
      <c r="F38" s="115"/>
      <c r="G38" s="118"/>
      <c r="H38" s="110"/>
      <c r="I38" s="118"/>
      <c r="J38" s="110"/>
      <c r="K38" s="118"/>
      <c r="L38" s="114">
        <v>3.5</v>
      </c>
      <c r="M38" s="118">
        <f t="shared" si="3"/>
        <v>350</v>
      </c>
      <c r="N38" s="114"/>
      <c r="O38" s="110"/>
      <c r="P38" s="114"/>
      <c r="Q38" s="110"/>
      <c r="R38" s="114"/>
      <c r="S38" s="110"/>
      <c r="T38" s="114"/>
      <c r="U38" s="118"/>
      <c r="V38" s="114"/>
      <c r="W38" s="118"/>
      <c r="X38" s="114"/>
      <c r="Y38" s="118"/>
    </row>
    <row r="39" spans="2:25" ht="18">
      <c r="B39" s="92">
        <v>32</v>
      </c>
      <c r="C39" s="95" t="s">
        <v>333</v>
      </c>
      <c r="D39" s="122">
        <f>$D$2*Микроэлементы!B22</f>
        <v>2.1033860329372529</v>
      </c>
      <c r="E39" s="115"/>
      <c r="F39" s="115">
        <v>9.9000000000000005E-2</v>
      </c>
      <c r="G39" s="118">
        <f t="shared" si="4"/>
        <v>99</v>
      </c>
      <c r="H39" s="110"/>
      <c r="I39" s="118"/>
      <c r="J39" s="110"/>
      <c r="K39" s="118"/>
      <c r="L39" s="110">
        <v>0.9</v>
      </c>
      <c r="M39" s="118">
        <f t="shared" si="3"/>
        <v>90</v>
      </c>
      <c r="N39" s="110"/>
      <c r="O39" s="110"/>
      <c r="P39" s="110"/>
      <c r="Q39" s="110"/>
      <c r="R39" s="110"/>
      <c r="S39" s="110"/>
      <c r="T39" s="110"/>
      <c r="U39" s="118"/>
      <c r="V39" s="110"/>
      <c r="W39" s="118"/>
      <c r="X39" s="110"/>
      <c r="Y39" s="118"/>
    </row>
    <row r="40" spans="2:25" ht="18">
      <c r="B40" s="149">
        <v>33</v>
      </c>
      <c r="C40" s="95" t="s">
        <v>334</v>
      </c>
      <c r="D40" s="122">
        <f>$D$2*Микроэлементы!B23</f>
        <v>0.19078454928631061</v>
      </c>
      <c r="E40" s="115"/>
      <c r="F40" s="115"/>
      <c r="G40" s="114"/>
      <c r="H40" s="110"/>
      <c r="I40" s="118"/>
      <c r="J40" s="110"/>
      <c r="K40" s="118"/>
      <c r="L40" s="114">
        <v>0.02</v>
      </c>
      <c r="M40" s="118">
        <f t="shared" si="3"/>
        <v>2</v>
      </c>
      <c r="N40" s="114"/>
      <c r="O40" s="110"/>
      <c r="P40" s="114"/>
      <c r="Q40" s="110"/>
      <c r="R40" s="114"/>
      <c r="S40" s="110"/>
      <c r="T40" s="114"/>
      <c r="U40" s="118"/>
      <c r="V40" s="114"/>
      <c r="W40" s="118"/>
      <c r="X40" s="114"/>
      <c r="Y40" s="118"/>
    </row>
    <row r="41" spans="2:25" ht="18">
      <c r="B41" s="92">
        <v>34</v>
      </c>
      <c r="C41" s="95" t="s">
        <v>341</v>
      </c>
      <c r="D41" s="122"/>
      <c r="E41" s="116"/>
      <c r="F41" s="116">
        <v>9.2999999999999992E-3</v>
      </c>
      <c r="G41" s="110">
        <f t="shared" si="4"/>
        <v>9.3000000000000007</v>
      </c>
      <c r="H41" s="110"/>
      <c r="I41" s="118"/>
      <c r="J41" s="110"/>
      <c r="K41" s="118"/>
      <c r="L41" s="110"/>
      <c r="M41" s="118"/>
      <c r="N41" s="110"/>
      <c r="O41" s="110"/>
      <c r="P41" s="110"/>
      <c r="Q41" s="110"/>
      <c r="R41" s="110"/>
      <c r="S41" s="110"/>
      <c r="T41" s="110"/>
      <c r="U41" s="118"/>
      <c r="V41" s="110"/>
      <c r="W41" s="118"/>
      <c r="X41" s="110"/>
      <c r="Y41" s="118"/>
    </row>
    <row r="42" spans="2:25" ht="18">
      <c r="B42" s="149">
        <v>35</v>
      </c>
      <c r="C42" s="95" t="s">
        <v>340</v>
      </c>
      <c r="D42" s="122"/>
      <c r="E42" s="115"/>
      <c r="F42" s="115">
        <v>8.5999999999999993E-2</v>
      </c>
      <c r="G42" s="118">
        <f t="shared" si="4"/>
        <v>85.999999999999986</v>
      </c>
      <c r="H42" s="110"/>
      <c r="I42" s="118"/>
      <c r="J42" s="110"/>
      <c r="K42" s="118"/>
      <c r="L42" s="110">
        <v>0.9</v>
      </c>
      <c r="M42" s="118">
        <f t="shared" si="3"/>
        <v>90</v>
      </c>
      <c r="N42" s="110"/>
      <c r="O42" s="110"/>
      <c r="P42" s="110"/>
      <c r="Q42" s="110"/>
      <c r="R42" s="110"/>
      <c r="S42" s="110"/>
      <c r="T42" s="110"/>
      <c r="U42" s="118"/>
      <c r="V42" s="110"/>
      <c r="W42" s="118"/>
      <c r="X42" s="110"/>
      <c r="Y42" s="118"/>
    </row>
    <row r="43" spans="2:25">
      <c r="B43" s="92">
        <v>36</v>
      </c>
      <c r="C43" s="95" t="s">
        <v>307</v>
      </c>
      <c r="D43" s="122">
        <f>$D$2*Микроэлементы!B26</f>
        <v>7.8487943262411344</v>
      </c>
      <c r="E43" s="115"/>
      <c r="F43" s="115"/>
      <c r="G43" s="114"/>
      <c r="H43" s="110">
        <v>1E-3</v>
      </c>
      <c r="I43" s="110">
        <f>H43*$D$2</f>
        <v>0.1</v>
      </c>
      <c r="J43" s="110">
        <v>1E-3</v>
      </c>
      <c r="K43" s="110">
        <f>J43*$D$2</f>
        <v>0.1</v>
      </c>
      <c r="L43" s="110"/>
      <c r="M43" s="118"/>
      <c r="N43" s="110"/>
      <c r="O43" s="110"/>
      <c r="P43" s="110"/>
      <c r="Q43" s="110"/>
      <c r="R43" s="110"/>
      <c r="S43" s="110"/>
      <c r="T43" s="110"/>
      <c r="U43" s="118"/>
      <c r="V43" s="110"/>
      <c r="W43" s="118"/>
      <c r="X43" s="110"/>
      <c r="Y43" s="118"/>
    </row>
    <row r="44" spans="2:25" ht="18.75" thickBot="1">
      <c r="B44" s="149">
        <v>37</v>
      </c>
      <c r="C44" s="124" t="s">
        <v>468</v>
      </c>
      <c r="D44" s="124"/>
      <c r="E44" s="120"/>
      <c r="F44" s="120">
        <v>8.9999999999999993E-3</v>
      </c>
      <c r="G44" s="121">
        <f t="shared" si="4"/>
        <v>9</v>
      </c>
      <c r="H44" s="121"/>
      <c r="I44" s="121"/>
      <c r="J44" s="121"/>
      <c r="K44" s="121"/>
      <c r="L44" s="112">
        <v>0.1</v>
      </c>
      <c r="M44" s="121">
        <f>L44*$D$2</f>
        <v>10</v>
      </c>
      <c r="N44" s="112">
        <v>0.1</v>
      </c>
      <c r="O44" s="121">
        <f>N44*$D$2</f>
        <v>10</v>
      </c>
      <c r="P44" s="112"/>
      <c r="Q44" s="121"/>
      <c r="R44" s="112"/>
      <c r="S44" s="121"/>
      <c r="T44" s="112"/>
      <c r="U44" s="121"/>
      <c r="V44" s="112"/>
      <c r="W44" s="121"/>
      <c r="X44" s="112"/>
      <c r="Y44" s="121"/>
    </row>
    <row r="45" spans="2:25" ht="15.75" thickTop="1"/>
    <row r="48" spans="2:25">
      <c r="D48" s="155">
        <v>1</v>
      </c>
      <c r="E48" s="155">
        <v>2</v>
      </c>
      <c r="F48" s="156"/>
      <c r="G48" s="155">
        <v>3</v>
      </c>
      <c r="H48" s="156"/>
      <c r="I48" s="155">
        <v>4</v>
      </c>
      <c r="J48" s="156"/>
      <c r="K48" s="155">
        <v>5</v>
      </c>
      <c r="L48" s="156"/>
      <c r="M48" s="155">
        <v>6</v>
      </c>
      <c r="N48" s="156"/>
      <c r="O48" s="155">
        <v>7</v>
      </c>
      <c r="P48" s="156"/>
      <c r="Q48" s="155">
        <v>8</v>
      </c>
      <c r="R48" s="156"/>
      <c r="S48" s="155">
        <v>9</v>
      </c>
      <c r="T48" s="156"/>
      <c r="U48" s="155">
        <v>10</v>
      </c>
      <c r="V48" s="156"/>
      <c r="W48" s="155">
        <v>11</v>
      </c>
      <c r="X48" s="156"/>
      <c r="Y48" s="155">
        <v>12</v>
      </c>
    </row>
    <row r="49" spans="1:25">
      <c r="B49" t="s">
        <v>356</v>
      </c>
      <c r="C49" t="s">
        <v>409</v>
      </c>
      <c r="D49" s="152" t="str">
        <f>D5</f>
        <v>Vahe</v>
      </c>
      <c r="E49" s="152" t="str">
        <f>E5</f>
        <v>Vahe
Na2SO4</v>
      </c>
      <c r="F49" s="152"/>
      <c r="G49" s="152" t="str">
        <f>G5</f>
        <v>Platax</v>
      </c>
      <c r="H49" s="151"/>
      <c r="I49" s="152" t="str">
        <f>I5</f>
        <v>Indian
Na2SO4</v>
      </c>
      <c r="J49" s="151"/>
      <c r="K49" s="152" t="str">
        <f>K5</f>
        <v>Еманов</v>
      </c>
      <c r="L49" s="151"/>
      <c r="M49" s="152" t="str">
        <f>M5</f>
        <v>Кочетов</v>
      </c>
      <c r="N49" s="151"/>
      <c r="O49" s="152" t="str">
        <f>N5</f>
        <v>Шубравый</v>
      </c>
      <c r="P49" s="151"/>
      <c r="Q49" s="152" t="str">
        <f>P5</f>
        <v>Millero</v>
      </c>
      <c r="R49" s="151"/>
      <c r="S49" s="153" t="str">
        <f>R5</f>
        <v>Segedi-Kelley</v>
      </c>
      <c r="T49" s="151"/>
      <c r="U49" s="153" t="str">
        <f>T5</f>
        <v>McClendon</v>
      </c>
      <c r="V49" s="151"/>
      <c r="W49" s="151" t="str">
        <f>W5</f>
        <v>Brujewicz</v>
      </c>
      <c r="X49" s="151"/>
      <c r="Y49" s="151" t="str">
        <f>Y5</f>
        <v>Lyman</v>
      </c>
    </row>
    <row r="50" spans="1:25">
      <c r="A50" t="str">
        <f>NSW!A2</f>
        <v>Cl</v>
      </c>
      <c r="B50">
        <f>NSW!B2</f>
        <v>19.356057142857143</v>
      </c>
      <c r="C50">
        <v>19.335999999999999</v>
      </c>
      <c r="D50" s="151">
        <f>(HLOOKUP(D48,$D$3:$S$23,4)*Реактивы!$K$3+HLOOKUP(D48,$D$3:$S$23,6)*Реактивы!$K$5+HLOOKUP(D48,$D$3:$S$23,8)*Реактивы!$K$7+HLOOKUP(D48,$D$3:$S$23,19)*Реактивы!$K$17+HLOOKUP(D48,$D$3:$S$23,20)*Реактивы!$K$18)/$D$2</f>
        <v>19.727354769979403</v>
      </c>
      <c r="E50" s="151">
        <f>(HLOOKUP(E48,$D$3:$S$23,4)*Реактивы!$K$3+HLOOKUP(E48,$D$3:$S$23,6)*Реактивы!$K$5+HLOOKUP(E48,$D$3:$S$23,8)*Реактивы!$K$7+HLOOKUP(E48,$D$3:$S$23,19)*Реактивы!$K$17+HLOOKUP(E48,$D$3:$S$23,20)*Реактивы!$K$18)/$D$2</f>
        <v>19.411402374753415</v>
      </c>
      <c r="F50" s="151" t="e">
        <f>(HLOOKUP(F48,$D$3:$S$23,4)*Реактивы!$K$3+HLOOKUP(F48,$D$3:$S$23,6)*Реактивы!$K$5+HLOOKUP(F48,$D$3:$S$23,8)*Реактивы!$K$7+HLOOKUP(F48,$D$3:$S$23,19)*Реактивы!$K$17+HLOOKUP(F48,$D$3:$S$23,20)*Реактивы!$K$18)/$D$2</f>
        <v>#N/A</v>
      </c>
      <c r="G50" s="151">
        <f>(HLOOKUP(G48,$D$3:$S$23,4)*Реактивы!$K$3+HLOOKUP(G48,$D$3:$S$23,6)*Реактивы!$K$5+HLOOKUP(G48,$D$3:$S$23,8)*Реактивы!$K$7+HLOOKUP(G48,$D$3:$S$23,19)*Реактивы!$K$17+HLOOKUP(G48,$D$3:$S$23,20)*Реактивы!$K$18)/$D$2</f>
        <v>19.787700751966362</v>
      </c>
      <c r="H50" s="151" t="e">
        <f>(HLOOKUP(H48,$D$3:$S$23,4)*Реактивы!$K$3+HLOOKUP(H48,$D$3:$S$23,6)*Реактивы!$K$5+HLOOKUP(H48,$D$3:$S$23,8)*Реактивы!$K$7+HLOOKUP(H48,$D$3:$S$23,19)*Реактивы!$K$17+HLOOKUP(H48,$D$3:$S$23,20)*Реактивы!$K$18)/$D$2</f>
        <v>#N/A</v>
      </c>
      <c r="I50" s="151">
        <f>(HLOOKUP(I48,$D$3:$S$23,4)*Реактивы!$K$3+HLOOKUP(I48,$D$3:$S$23,6)*Реактивы!$K$5+HLOOKUP(I48,$D$3:$S$23,8)*Реактивы!$K$7+HLOOKUP(I48,$D$3:$S$23,19)*Реактивы!$K$17+HLOOKUP(I48,$D$3:$S$23,20)*Реактивы!$K$18)/$D$2</f>
        <v>21.59177937044532</v>
      </c>
      <c r="J50" s="151" t="e">
        <f>(HLOOKUP(J48,$D$3:$S$23,4)*Реактивы!$K$3+HLOOKUP(J48,$D$3:$S$23,6)*Реактивы!$K$5+HLOOKUP(J48,$D$3:$S$23,8)*Реактивы!$K$7+HLOOKUP(J48,$D$3:$S$23,19)*Реактивы!$K$17+HLOOKUP(J48,$D$3:$S$23,20)*Реактивы!$K$18)/$D$2</f>
        <v>#N/A</v>
      </c>
      <c r="K50" s="151">
        <f>(HLOOKUP(K48,$D$3:$S$23,4)*Реактивы!$K$3+HLOOKUP(K48,$D$3:$S$23,6)*Реактивы!$K$5+HLOOKUP(K48,$D$3:$S$23,8)*Реактивы!$K$7+HLOOKUP(K48,$D$3:$S$23,19)*Реактивы!$K$17+HLOOKUP(K48,$D$3:$S$23,20)*Реактивы!$K$18)/$D$2</f>
        <v>18.501881396732792</v>
      </c>
      <c r="L50" s="151" t="e">
        <f>(HLOOKUP(L48,$D$3:$S$23,4)*Реактивы!$K$3+HLOOKUP(L48,$D$3:$S$23,6)*Реактивы!$K$5+HLOOKUP(L48,$D$3:$S$23,8)*Реактивы!$K$7+HLOOKUP(L48,$D$3:$S$23,19)*Реактивы!$K$17+HLOOKUP(L48,$D$3:$S$23,20)*Реактивы!$K$18)/$D$2</f>
        <v>#N/A</v>
      </c>
      <c r="M50" s="151">
        <f>(HLOOKUP(M48,$D$3:$S$23,4)*Реактивы!$K$3+HLOOKUP(M48,$D$3:$S$23,6)*Реактивы!$K$5+HLOOKUP(M48,$D$3:$S$23,8)*Реактивы!$K$7+HLOOKUP(M48,$D$3:$S$23,19)*Реактивы!$K$17+HLOOKUP(M48,$D$3:$S$23,20)*Реактивы!$K$18)/$D$2</f>
        <v>19.121372376665153</v>
      </c>
      <c r="N50" s="151" t="e">
        <f>(HLOOKUP(N48,$D$3:$S$23,4)*Реактивы!$K$3+HLOOKUP(N48,$D$3:$S$23,6)*Реактивы!$K$5+HLOOKUP(N48,$D$3:$S$23,8)*Реактивы!$K$7+HLOOKUP(N48,$D$3:$S$23,19)*Реактивы!$K$17+HLOOKUP(N48,$D$3:$S$23,20)*Реактивы!$K$18)/$D$2</f>
        <v>#N/A</v>
      </c>
      <c r="O50" s="151">
        <f>(HLOOKUP(O48,$D$3:$S$23,4)*Реактивы!$K$3+HLOOKUP(O48,$D$3:$S$23,6)*Реактивы!$K$5+HLOOKUP(O48,$D$3:$S$23,8)*Реактивы!$K$7+HLOOKUP(O48,$D$3:$S$23,19)*Реактивы!$K$17+HLOOKUP(O48,$D$3:$S$23,20)*Реактивы!$K$18)/$D$2</f>
        <v>19.660767743258386</v>
      </c>
      <c r="P50" s="151" t="e">
        <f>(HLOOKUP(P48,$D$3:$S$23,4)*Реактивы!$K$3+HLOOKUP(P48,$D$3:$S$23,6)*Реактивы!$K$5+HLOOKUP(P48,$D$3:$S$23,8)*Реактивы!$K$7+HLOOKUP(P48,$D$3:$S$23,19)*Реактивы!$K$17+HLOOKUP(P48,$D$3:$S$23,20)*Реактивы!$K$18)/$D$2</f>
        <v>#N/A</v>
      </c>
      <c r="Q50" s="151">
        <f>(HLOOKUP(Q48,$D$3:$S$23,4)*Реактивы!$K$3+HLOOKUP(Q48,$D$3:$S$23,6)*Реактивы!$K$5+HLOOKUP(Q48,$D$3:$S$23,8)*Реактивы!$K$7+HLOOKUP(Q48,$D$3:$S$23,19)*Реактивы!$K$17+HLOOKUP(Q48,$D$3:$S$23,20)*Реактивы!$K$18)/$D$2</f>
        <v>19.177902295836045</v>
      </c>
      <c r="R50" s="151" t="e">
        <f>(HLOOKUP(R48,$D$3:$S$23,4)*Реактивы!$K$3+HLOOKUP(R48,$D$3:$S$23,6)*Реактивы!$K$5+HLOOKUP(R48,$D$3:$S$23,8)*Реактивы!$K$7+HLOOKUP(R48,$D$3:$S$23,19)*Реактивы!$K$17+HLOOKUP(R48,$D$3:$S$23,20)*Реактивы!$K$18)/$D$2</f>
        <v>#N/A</v>
      </c>
      <c r="S50" s="151">
        <f>(HLOOKUP(S48,$D$3:$S$23,4)*Реактивы!$K$3+HLOOKUP(S48,$D$3:$S$23,6)*Реактивы!$K$5+HLOOKUP(S48,$D$3:$S$23,8)*Реактивы!$K$7+HLOOKUP(S48,$D$3:$S$23,19)*Реактивы!$K$17+HLOOKUP(S48,$D$3:$S$23,20)*Реактивы!$K$18)/$D$2</f>
        <v>19.576589786049848</v>
      </c>
      <c r="T50" s="151" t="e">
        <f>(HLOOKUP(T48,$D$3:$S$23,4)*Реактивы!$K$3+HLOOKUP(T48,$D$3:$S$23,6)*Реактивы!$K$5+HLOOKUP(T48,$D$3:$S$23,8)*Реактивы!$K$7+HLOOKUP(T48,$D$3:$S$23,19)*Реактивы!$K$17+HLOOKUP(T48,$D$3:$S$23,20)*Реактивы!$K$18)/$D$2</f>
        <v>#N/A</v>
      </c>
      <c r="U50" s="151">
        <f>(HLOOKUP(U48,$D$3:$S$23,4)*Реактивы!$K$3+HLOOKUP(U48,$D$3:$S$23,6)*Реактивы!$K$5+HLOOKUP(U48,$D$3:$S$23,8)*Реактивы!$K$7+HLOOKUP(U48,$D$3:$S$23,19)*Реактивы!$K$17+HLOOKUP(U48,$D$3:$S$23,20)*Реактивы!$K$18)/$D$2</f>
        <v>19.576589786049848</v>
      </c>
      <c r="V50" s="151" t="e">
        <f>(HLOOKUP(V48,$D$3:$S$23,4)*Реактивы!$K$3+HLOOKUP(V48,$D$3:$S$23,6)*Реактивы!$K$5+HLOOKUP(V48,$D$3:$S$23,8)*Реактивы!$K$7+HLOOKUP(V48,$D$3:$S$23,19)*Реактивы!$K$17+HLOOKUP(V48,$D$3:$S$23,20)*Реактивы!$K$18)/$D$2</f>
        <v>#N/A</v>
      </c>
      <c r="W50" s="151">
        <f>(HLOOKUP(W48,$D$3:$S$23,4)*Реактивы!$K$3+HLOOKUP(W48,$D$3:$S$23,6)*Реактивы!$K$5+HLOOKUP(W48,$D$3:$S$23,8)*Реактивы!$K$7+HLOOKUP(W48,$D$3:$S$23,19)*Реактивы!$K$17+HLOOKUP(W48,$D$3:$S$23,20)*Реактивы!$K$18)/$D$2</f>
        <v>19.576589786049848</v>
      </c>
      <c r="X50" s="151" t="e">
        <f>(HLOOKUP(X48,$D$3:$S$23,4)*Реактивы!$K$3+HLOOKUP(X48,$D$3:$S$23,6)*Реактивы!$K$5+HLOOKUP(X48,$D$3:$S$23,8)*Реактивы!$K$7+HLOOKUP(X48,$D$3:$S$23,19)*Реактивы!$K$17+HLOOKUP(X48,$D$3:$S$23,20)*Реактивы!$K$18)/$D$2</f>
        <v>#N/A</v>
      </c>
      <c r="Y50" s="151">
        <f>(HLOOKUP(Y48,$D$3:$S$23,4)*Реактивы!$K$3+HLOOKUP(Y48,$D$3:$S$23,6)*Реактивы!$K$5+HLOOKUP(Y48,$D$3:$S$23,8)*Реактивы!$K$7+HLOOKUP(Y48,$D$3:$S$23,19)*Реактивы!$K$17+HLOOKUP(Y48,$D$3:$S$23,20)*Реактивы!$K$18)/$D$2</f>
        <v>19.576589786049848</v>
      </c>
    </row>
    <row r="51" spans="1:25">
      <c r="A51" t="str">
        <f>NSW!A3</f>
        <v>Na</v>
      </c>
      <c r="B51">
        <f>NSW!B3</f>
        <v>10.740242857142857</v>
      </c>
      <c r="C51">
        <v>10.752000000000001</v>
      </c>
      <c r="D51" s="151">
        <f>(HLOOKUP(D48,$D$3:$S$23,4)*Реактивы!$H$3+HLOOKUP(D48,$D$3:$S$23,7)*Реактивы!$H$6+HLOOKUP(D48,$D$3:$S$23,10)*Реактивы!$H$9+HLOOKUP(D48,$D$3:$S$23,11)*Реактивы!$H$10+HLOOKUP(D48,$D$3:$S$23,16)*Реактивы!$H$15+HLOOKUP(D48,$D$3:$S$23,17)*Реактивы!$H$16)/$D$2</f>
        <v>10.752109870260815</v>
      </c>
      <c r="E51" s="151">
        <f>(HLOOKUP(E48,$D$3:$S$23,4)*Реактивы!$H$3+HLOOKUP(E48,$D$3:$S$23,7)*Реактивы!$H$6+HLOOKUP(E48,$D$3:$S$23,10)*Реактивы!$H$9+HLOOKUP(E48,$D$3:$S$23,11)*Реактивы!$H$10+HLOOKUP(E48,$D$3:$S$23,16)*Реактивы!$H$15+HLOOKUP(E48,$D$3:$S$23,17)*Реактивы!$H$16)/$D$2</f>
        <v>10.742420000194258</v>
      </c>
      <c r="F51" s="151" t="e">
        <f>(HLOOKUP(F48,$D$3:$S$23,4)*Реактивы!$H$3+HLOOKUP(F48,$D$3:$S$23,7)*Реактивы!$H$6+HLOOKUP(F48,$D$3:$S$23,10)*Реактивы!$H$9+HLOOKUP(F48,$D$3:$S$23,11)*Реактивы!$H$10+HLOOKUP(F48,$D$3:$S$23,16)*Реактивы!$H$15+HLOOKUP(F48,$D$3:$S$23,17)*Реактивы!$H$16)/$D$2</f>
        <v>#N/A</v>
      </c>
      <c r="G51" s="151">
        <f>(HLOOKUP(G48,$D$3:$S$23,4)*Реактивы!$H$3+HLOOKUP(G48,$D$3:$S$23,7)*Реактивы!$H$6+HLOOKUP(G48,$D$3:$S$23,10)*Реактивы!$H$9+HLOOKUP(G48,$D$3:$S$23,11)*Реактивы!$H$10+HLOOKUP(G48,$D$3:$S$23,16)*Реактивы!$H$15+HLOOKUP(G48,$D$3:$S$23,17)*Реактивы!$H$16)/$D$2</f>
        <v>10.934224486197834</v>
      </c>
      <c r="H51" s="151" t="e">
        <f>(HLOOKUP(H48,$D$3:$S$23,4)*Реактивы!$H$3+HLOOKUP(H48,$D$3:$S$23,7)*Реактивы!$H$6+HLOOKUP(H48,$D$3:$S$23,10)*Реактивы!$H$9+HLOOKUP(H48,$D$3:$S$23,11)*Реактивы!$H$10+HLOOKUP(H48,$D$3:$S$23,16)*Реактивы!$H$15+HLOOKUP(H48,$D$3:$S$23,17)*Реактивы!$H$16)/$D$2</f>
        <v>#N/A</v>
      </c>
      <c r="I51" s="151">
        <f>(HLOOKUP(I48,$D$3:$S$23,4)*Реактивы!$H$3+HLOOKUP(I48,$D$3:$S$23,7)*Реактивы!$H$6+HLOOKUP(I48,$D$3:$S$23,10)*Реактивы!$H$9+HLOOKUP(I48,$D$3:$S$23,11)*Реактивы!$H$10+HLOOKUP(I48,$D$3:$S$23,16)*Реактивы!$H$15+HLOOKUP(I48,$D$3:$S$23,17)*Реактивы!$H$16)/$D$2</f>
        <v>12.873926296001757</v>
      </c>
      <c r="J51" s="151" t="e">
        <f>(HLOOKUP(J48,$D$3:$S$23,4)*Реактивы!$H$3+HLOOKUP(J48,$D$3:$S$23,7)*Реактивы!$H$6+HLOOKUP(J48,$D$3:$S$23,10)*Реактивы!$H$9+HLOOKUP(J48,$D$3:$S$23,11)*Реактивы!$H$10+HLOOKUP(J48,$D$3:$S$23,16)*Реактивы!$H$15+HLOOKUP(J48,$D$3:$S$23,17)*Реактивы!$H$16)/$D$2</f>
        <v>#N/A</v>
      </c>
      <c r="K51" s="151">
        <f>(HLOOKUP(K48,$D$3:$S$23,4)*Реактивы!$H$3+HLOOKUP(K48,$D$3:$S$23,7)*Реактивы!$H$6+HLOOKUP(K48,$D$3:$S$23,10)*Реактивы!$H$9+HLOOKUP(K48,$D$3:$S$23,11)*Реактивы!$H$10+HLOOKUP(K48,$D$3:$S$23,16)*Реактивы!$H$15+HLOOKUP(K48,$D$3:$S$23,17)*Реактивы!$H$16)/$D$2</f>
        <v>10.276949546789524</v>
      </c>
      <c r="L51" s="151" t="e">
        <f>(HLOOKUP(L48,$D$3:$S$23,4)*Реактивы!$H$3+HLOOKUP(L48,$D$3:$S$23,7)*Реактивы!$H$6+HLOOKUP(L48,$D$3:$S$23,10)*Реактивы!$H$9+HLOOKUP(L48,$D$3:$S$23,11)*Реактивы!$H$10+HLOOKUP(L48,$D$3:$S$23,16)*Реактивы!$H$15+HLOOKUP(L48,$D$3:$S$23,17)*Реактивы!$H$16)/$D$2</f>
        <v>#N/A</v>
      </c>
      <c r="M51" s="151">
        <f>(HLOOKUP(M48,$D$3:$S$23,4)*Реактивы!$H$3+HLOOKUP(M48,$D$3:$S$23,7)*Реактивы!$H$6+HLOOKUP(M48,$D$3:$S$23,10)*Реактивы!$H$9+HLOOKUP(M48,$D$3:$S$23,11)*Реактивы!$H$10+HLOOKUP(M48,$D$3:$S$23,16)*Реактивы!$H$15+HLOOKUP(M48,$D$3:$S$23,17)*Реактивы!$H$16)/$D$2</f>
        <v>10.675795573204548</v>
      </c>
      <c r="N51" s="151" t="e">
        <f>(HLOOKUP(N48,$D$3:$S$23,4)*Реактивы!$H$3+HLOOKUP(N48,$D$3:$S$23,7)*Реактивы!$H$6+HLOOKUP(N48,$D$3:$S$23,10)*Реактивы!$H$9+HLOOKUP(N48,$D$3:$S$23,11)*Реактивы!$H$10+HLOOKUP(N48,$D$3:$S$23,16)*Реактивы!$H$15+HLOOKUP(N48,$D$3:$S$23,17)*Реактивы!$H$16)/$D$2</f>
        <v>#N/A</v>
      </c>
      <c r="O51" s="151">
        <f>(HLOOKUP(O48,$D$3:$S$23,4)*Реактивы!$H$3+HLOOKUP(O48,$D$3:$S$23,7)*Реактивы!$H$6+HLOOKUP(O48,$D$3:$S$23,10)*Реактивы!$H$9+HLOOKUP(O48,$D$3:$S$23,11)*Реактивы!$H$10+HLOOKUP(O48,$D$3:$S$23,16)*Реактивы!$H$15+HLOOKUP(O48,$D$3:$S$23,17)*Реактивы!$H$16)/$D$2</f>
        <v>10.931072252463661</v>
      </c>
      <c r="P51" s="151" t="e">
        <f>(HLOOKUP(P48,$D$3:$S$23,4)*Реактивы!$H$3+HLOOKUP(P48,$D$3:$S$23,7)*Реактивы!$H$6+HLOOKUP(P48,$D$3:$S$23,10)*Реактивы!$H$9+HLOOKUP(P48,$D$3:$S$23,11)*Реактивы!$H$10+HLOOKUP(P48,$D$3:$S$23,16)*Реактивы!$H$15+HLOOKUP(P48,$D$3:$S$23,17)*Реактивы!$H$16)/$D$2</f>
        <v>#N/A</v>
      </c>
      <c r="Q51" s="151">
        <f>(HLOOKUP(Q48,$D$3:$S$23,4)*Реактивы!$H$3+HLOOKUP(Q48,$D$3:$S$23,7)*Реактивы!$H$6+HLOOKUP(Q48,$D$3:$S$23,10)*Реактивы!$H$9+HLOOKUP(Q48,$D$3:$S$23,11)*Реактивы!$H$10+HLOOKUP(Q48,$D$3:$S$23,16)*Реактивы!$H$15+HLOOKUP(Q48,$D$3:$S$23,17)*Реактивы!$H$16)/$D$2</f>
        <v>10.778208797911597</v>
      </c>
      <c r="R51" s="151" t="e">
        <f>(HLOOKUP(R48,$D$3:$S$23,4)*Реактивы!$H$3+HLOOKUP(R48,$D$3:$S$23,7)*Реактивы!$H$6+HLOOKUP(R48,$D$3:$S$23,10)*Реактивы!$H$9+HLOOKUP(R48,$D$3:$S$23,11)*Реактивы!$H$10+HLOOKUP(R48,$D$3:$S$23,16)*Реактивы!$H$15+HLOOKUP(R48,$D$3:$S$23,17)*Реактивы!$H$16)/$D$2</f>
        <v>#N/A</v>
      </c>
      <c r="S51" s="151">
        <f>(HLOOKUP(S48,$D$3:$S$23,4)*Реактивы!$H$3+HLOOKUP(S48,$D$3:$S$23,7)*Реактивы!$H$6+HLOOKUP(S48,$D$3:$S$23,10)*Реактивы!$H$9+HLOOKUP(S48,$D$3:$S$23,11)*Реактивы!$H$10+HLOOKUP(S48,$D$3:$S$23,16)*Реактивы!$H$15+HLOOKUP(S48,$D$3:$S$23,17)*Реактивы!$H$16)/$D$2</f>
        <v>10.914240032460075</v>
      </c>
      <c r="T51" s="151" t="e">
        <f>(HLOOKUP(T48,$D$3:$S$23,4)*Реактивы!$H$3+HLOOKUP(T48,$D$3:$S$23,7)*Реактивы!$H$6+HLOOKUP(T48,$D$3:$S$23,10)*Реактивы!$H$9+HLOOKUP(T48,$D$3:$S$23,11)*Реактивы!$H$10+HLOOKUP(T48,$D$3:$S$23,16)*Реактивы!$H$15+HLOOKUP(T48,$D$3:$S$23,17)*Реактивы!$H$16)/$D$2</f>
        <v>#N/A</v>
      </c>
      <c r="U51" s="151">
        <f>(HLOOKUP(U48,$D$3:$S$23,4)*Реактивы!$H$3+HLOOKUP(U48,$D$3:$S$23,7)*Реактивы!$H$6+HLOOKUP(U48,$D$3:$S$23,10)*Реактивы!$H$9+HLOOKUP(U48,$D$3:$S$23,11)*Реактивы!$H$10+HLOOKUP(U48,$D$3:$S$23,16)*Реактивы!$H$15+HLOOKUP(U48,$D$3:$S$23,17)*Реактивы!$H$16)/$D$2</f>
        <v>10.914240032460075</v>
      </c>
      <c r="V51" s="151" t="e">
        <f>(HLOOKUP(V48,$D$3:$S$23,4)*Реактивы!$H$3+HLOOKUP(V48,$D$3:$S$23,7)*Реактивы!$H$6+HLOOKUP(V48,$D$3:$S$23,10)*Реактивы!$H$9+HLOOKUP(V48,$D$3:$S$23,11)*Реактивы!$H$10+HLOOKUP(V48,$D$3:$S$23,16)*Реактивы!$H$15+HLOOKUP(V48,$D$3:$S$23,17)*Реактивы!$H$16)/$D$2</f>
        <v>#N/A</v>
      </c>
      <c r="W51" s="151">
        <f>(HLOOKUP(W48,$D$3:$S$23,4)*Реактивы!$H$3+HLOOKUP(W48,$D$3:$S$23,7)*Реактивы!$H$6+HLOOKUP(W48,$D$3:$S$23,10)*Реактивы!$H$9+HLOOKUP(W48,$D$3:$S$23,11)*Реактивы!$H$10+HLOOKUP(W48,$D$3:$S$23,16)*Реактивы!$H$15+HLOOKUP(W48,$D$3:$S$23,17)*Реактивы!$H$16)/$D$2</f>
        <v>10.914240032460075</v>
      </c>
      <c r="X51" s="151" t="e">
        <f>(HLOOKUP(X48,$D$3:$S$23,4)*Реактивы!$H$3+HLOOKUP(X48,$D$3:$S$23,7)*Реактивы!$H$6+HLOOKUP(X48,$D$3:$S$23,10)*Реактивы!$H$9+HLOOKUP(X48,$D$3:$S$23,11)*Реактивы!$H$10+HLOOKUP(X48,$D$3:$S$23,16)*Реактивы!$H$15+HLOOKUP(X48,$D$3:$S$23,17)*Реактивы!$H$16)/$D$2</f>
        <v>#N/A</v>
      </c>
      <c r="Y51" s="151">
        <f>(HLOOKUP(Y48,$D$3:$S$23,4)*Реактивы!$H$3+HLOOKUP(Y48,$D$3:$S$23,7)*Реактивы!$H$6+HLOOKUP(Y48,$D$3:$S$23,10)*Реактивы!$H$9+HLOOKUP(Y48,$D$3:$S$23,11)*Реактивы!$H$10+HLOOKUP(Y48,$D$3:$S$23,16)*Реактивы!$H$15+HLOOKUP(Y48,$D$3:$S$23,17)*Реактивы!$H$16)/$D$2</f>
        <v>10.914240032460075</v>
      </c>
    </row>
    <row r="52" spans="1:25">
      <c r="A52" t="str">
        <f>NSW!A4</f>
        <v>SO4</v>
      </c>
      <c r="B52">
        <f>NSW!B4</f>
        <v>2.7092955178293701</v>
      </c>
      <c r="C52">
        <v>2.657</v>
      </c>
      <c r="D52" s="151">
        <f>(HLOOKUP(D48,$D$3:$S$23,5)*Реактивы!$K$4+HLOOKUP(D48,$D$3:$S$23,7)*Реактивы!$K$6+HLOOKUP(D48,$D$3:$S$23,9)*Реактивы!$K$8)/$D$2</f>
        <v>2.6998244116666137</v>
      </c>
      <c r="E52" s="151">
        <f>(HLOOKUP(E48,$D$3:$S$23,5)*Реактивы!$K$4+HLOOKUP(E48,$D$3:$S$23,7)*Реактивы!$K$6+HLOOKUP(E48,$D$3:$S$23,9)*Реактивы!$K$8)/$D$2</f>
        <v>2.7092261965691904</v>
      </c>
      <c r="F52" s="151" t="e">
        <f>(HLOOKUP(F48,$D$3:$S$23,5)*Реактивы!$K$4+HLOOKUP(F48,$D$3:$S$23,7)*Реактивы!$K$6+HLOOKUP(F48,$D$3:$S$23,9)*Реактивы!$K$8)/$D$2</f>
        <v>#N/A</v>
      </c>
      <c r="G52" s="151">
        <f>(HLOOKUP(G48,$D$3:$S$23,5)*Реактивы!$K$4+HLOOKUP(G48,$D$3:$S$23,7)*Реактивы!$K$6+HLOOKUP(G48,$D$3:$S$23,9)*Реактивы!$K$8)/$D$2</f>
        <v>2.7087887485322604</v>
      </c>
      <c r="H52" s="151" t="e">
        <f>(HLOOKUP(H48,$D$3:$S$23,5)*Реактивы!$K$4+HLOOKUP(H48,$D$3:$S$23,7)*Реактивы!$K$6+HLOOKUP(H48,$D$3:$S$23,9)*Реактивы!$K$8)/$D$2</f>
        <v>#N/A</v>
      </c>
      <c r="I52" s="151">
        <f>(HLOOKUP(I48,$D$3:$S$23,5)*Реактивы!$K$4+HLOOKUP(I48,$D$3:$S$23,7)*Реактивы!$K$6+HLOOKUP(I48,$D$3:$S$23,9)*Реактивы!$K$8)/$D$2</f>
        <v>3.0839002768210908</v>
      </c>
      <c r="J52" s="151" t="e">
        <f>(HLOOKUP(J48,$D$3:$S$23,5)*Реактивы!$K$4+HLOOKUP(J48,$D$3:$S$23,7)*Реактивы!$K$6+HLOOKUP(J48,$D$3:$S$23,9)*Реактивы!$K$8)/$D$2</f>
        <v>#N/A</v>
      </c>
      <c r="K52" s="151">
        <f>(HLOOKUP(K48,$D$3:$S$23,5)*Реактивы!$K$4+HLOOKUP(K48,$D$3:$S$23,7)*Реактивы!$K$6+HLOOKUP(K48,$D$3:$S$23,9)*Реактивы!$K$8)/$D$2</f>
        <v>2.5645798511283844</v>
      </c>
      <c r="L52" s="151" t="e">
        <f>(HLOOKUP(L48,$D$3:$S$23,5)*Реактивы!$K$4+HLOOKUP(L48,$D$3:$S$23,7)*Реактивы!$K$6+HLOOKUP(L48,$D$3:$S$23,9)*Реактивы!$K$8)/$D$2</f>
        <v>#N/A</v>
      </c>
      <c r="M52" s="151">
        <f>(HLOOKUP(M48,$D$3:$S$23,5)*Реактивы!$K$4+HLOOKUP(M48,$D$3:$S$23,7)*Реактивы!$K$6+HLOOKUP(M48,$D$3:$S$23,9)*Реактивы!$K$8)/$D$2</f>
        <v>2.6503256820171752</v>
      </c>
      <c r="N52" s="151" t="e">
        <f>(HLOOKUP(N48,$D$3:$S$23,5)*Реактивы!$K$4+HLOOKUP(N48,$D$3:$S$23,7)*Реактивы!$K$6+HLOOKUP(N48,$D$3:$S$23,9)*Реактивы!$K$8)/$D$2</f>
        <v>#N/A</v>
      </c>
      <c r="O52" s="151">
        <f>(HLOOKUP(O48,$D$3:$S$23,5)*Реактивы!$K$4+HLOOKUP(O48,$D$3:$S$23,7)*Реактивы!$K$6+HLOOKUP(O48,$D$3:$S$23,9)*Реактивы!$K$8)/$D$2</f>
        <v>2.7516616639766558</v>
      </c>
      <c r="P52" s="151" t="e">
        <f>(HLOOKUP(P48,$D$3:$S$23,5)*Реактивы!$K$4+HLOOKUP(P48,$D$3:$S$23,7)*Реактивы!$K$6+HLOOKUP(P48,$D$3:$S$23,9)*Реактивы!$K$8)/$D$2</f>
        <v>#N/A</v>
      </c>
      <c r="Q52" s="151">
        <f>(HLOOKUP(Q48,$D$3:$S$23,5)*Реактивы!$K$4+HLOOKUP(Q48,$D$3:$S$23,7)*Реактивы!$K$6+HLOOKUP(Q48,$D$3:$S$23,9)*Реактивы!$K$8)/$D$2</f>
        <v>2.7119386206255651</v>
      </c>
      <c r="R52" s="151" t="e">
        <f>(HLOOKUP(R48,$D$3:$S$23,5)*Реактивы!$K$4+HLOOKUP(R48,$D$3:$S$23,7)*Реактивы!$K$6+HLOOKUP(R48,$D$3:$S$23,9)*Реактивы!$K$8)/$D$2</f>
        <v>#N/A</v>
      </c>
      <c r="S52" s="151">
        <f>(HLOOKUP(S48,$D$3:$S$23,5)*Реактивы!$K$4+HLOOKUP(S48,$D$3:$S$23,7)*Реактивы!$K$6+HLOOKUP(S48,$D$3:$S$23,9)*Реактивы!$K$8)/$D$2</f>
        <v>2.6892237275953339</v>
      </c>
      <c r="T52" s="151" t="e">
        <f>(HLOOKUP(T48,$D$3:$S$23,5)*Реактивы!$K$4+HLOOKUP(T48,$D$3:$S$23,7)*Реактивы!$K$6+HLOOKUP(T48,$D$3:$S$23,9)*Реактивы!$K$8)/$D$2</f>
        <v>#N/A</v>
      </c>
      <c r="U52" s="151">
        <f>(HLOOKUP(U48,$D$3:$S$23,5)*Реактивы!$K$4+HLOOKUP(U48,$D$3:$S$23,7)*Реактивы!$K$6+HLOOKUP(U48,$D$3:$S$23,9)*Реактивы!$K$8)/$D$2</f>
        <v>2.6892237275953339</v>
      </c>
      <c r="V52" s="151" t="e">
        <f>(HLOOKUP(V48,$D$3:$S$23,5)*Реактивы!$K$4+HLOOKUP(V48,$D$3:$S$23,7)*Реактивы!$K$6+HLOOKUP(V48,$D$3:$S$23,9)*Реактивы!$K$8)/$D$2</f>
        <v>#N/A</v>
      </c>
      <c r="W52" s="151">
        <f>(HLOOKUP(W48,$D$3:$S$23,5)*Реактивы!$K$4+HLOOKUP(W48,$D$3:$S$23,7)*Реактивы!$K$6+HLOOKUP(W48,$D$3:$S$23,9)*Реактивы!$K$8)/$D$2</f>
        <v>2.6892237275953339</v>
      </c>
      <c r="X52" s="151" t="e">
        <f>(HLOOKUP(X48,$D$3:$S$23,5)*Реактивы!$K$4+HLOOKUP(X48,$D$3:$S$23,7)*Реактивы!$K$6+HLOOKUP(X48,$D$3:$S$23,9)*Реактивы!$K$8)/$D$2</f>
        <v>#N/A</v>
      </c>
      <c r="Y52" s="151">
        <f>(HLOOKUP(Y48,$D$3:$S$23,5)*Реактивы!$K$4+HLOOKUP(Y48,$D$3:$S$23,7)*Реактивы!$K$6+HLOOKUP(Y48,$D$3:$S$23,9)*Реактивы!$K$8)/$D$2</f>
        <v>2.6892237275953339</v>
      </c>
    </row>
    <row r="53" spans="1:25">
      <c r="A53" t="str">
        <f>NSW!A5</f>
        <v>Mg</v>
      </c>
      <c r="B53">
        <f>NSW!B5</f>
        <v>1.3053857142857141</v>
      </c>
      <c r="C53">
        <v>1.3169999999999999</v>
      </c>
      <c r="D53" s="151">
        <f>(HLOOKUP(D48,$D$3:$S$23,5)*Реактивы!$H$4+HLOOKUP(D48,$D$3:$S$23,6)*Реактивы!$H$5)/$D$2</f>
        <v>1.3999815242910016</v>
      </c>
      <c r="E53" s="151">
        <f>(HLOOKUP(E48,$D$3:$S$23,5)*Реактивы!$H$4+HLOOKUP(E48,$D$3:$S$23,6)*Реактивы!$H$5)/$D$2</f>
        <v>1.305419973792219</v>
      </c>
      <c r="F53" s="151" t="e">
        <f>(HLOOKUP(F48,$D$3:$S$23,5)*Реактивы!$H$4+HLOOKUP(F48,$D$3:$S$23,6)*Реактивы!$H$5)/$D$2</f>
        <v>#N/A</v>
      </c>
      <c r="G53" s="151">
        <f>(HLOOKUP(G48,$D$3:$S$23,5)*Реактивы!$H$4+HLOOKUP(G48,$D$3:$S$23,6)*Реактивы!$H$5)/$D$2</f>
        <v>1.3373141338476455</v>
      </c>
      <c r="H53" s="151" t="e">
        <f>(HLOOKUP(H48,$D$3:$S$23,5)*Реактивы!$H$4+HLOOKUP(H48,$D$3:$S$23,6)*Реактивы!$H$5)/$D$2</f>
        <v>#N/A</v>
      </c>
      <c r="I53" s="151">
        <f>(HLOOKUP(I48,$D$3:$S$23,5)*Реактивы!$H$4+HLOOKUP(I48,$D$3:$S$23,6)*Реактивы!$H$5)/$D$2</f>
        <v>1.0723854733348737</v>
      </c>
      <c r="J53" s="151" t="e">
        <f>(HLOOKUP(J48,$D$3:$S$23,5)*Реактивы!$H$4+HLOOKUP(J48,$D$3:$S$23,6)*Реактивы!$H$5)/$D$2</f>
        <v>#N/A</v>
      </c>
      <c r="K53" s="151">
        <f>(HLOOKUP(K48,$D$3:$S$23,5)*Реактивы!$H$4+HLOOKUP(K48,$D$3:$S$23,6)*Реактивы!$H$5)/$D$2</f>
        <v>1.2326516273492867</v>
      </c>
      <c r="L53" s="151" t="e">
        <f>(HLOOKUP(L48,$D$3:$S$23,5)*Реактивы!$H$4+HLOOKUP(L48,$D$3:$S$23,6)*Реактивы!$H$5)/$D$2</f>
        <v>#N/A</v>
      </c>
      <c r="M53" s="151">
        <f>(HLOOKUP(M48,$D$3:$S$23,5)*Реактивы!$H$4+HLOOKUP(M48,$D$3:$S$23,6)*Реактивы!$H$5)/$D$2</f>
        <v>1.3045796927280773</v>
      </c>
      <c r="N53" s="151" t="e">
        <f>(HLOOKUP(N48,$D$3:$S$23,5)*Реактивы!$H$4+HLOOKUP(N48,$D$3:$S$23,6)*Реактивы!$H$5)/$D$2</f>
        <v>#N/A</v>
      </c>
      <c r="O53" s="151">
        <f>(HLOOKUP(O48,$D$3:$S$23,5)*Реактивы!$H$4+HLOOKUP(O48,$D$3:$S$23,6)*Реактивы!$H$5)/$D$2</f>
        <v>1.3158760423688229</v>
      </c>
      <c r="P53" s="151" t="e">
        <f>(HLOOKUP(P48,$D$3:$S$23,5)*Реактивы!$H$4+HLOOKUP(P48,$D$3:$S$23,6)*Реактивы!$H$5)/$D$2</f>
        <v>#N/A</v>
      </c>
      <c r="Q53" s="151">
        <f>(HLOOKUP(Q48,$D$3:$S$23,5)*Реактивы!$H$4+HLOOKUP(Q48,$D$3:$S$23,6)*Реактивы!$H$5)/$D$2</f>
        <v>1.2840539393812094</v>
      </c>
      <c r="R53" s="151" t="e">
        <f>(HLOOKUP(R48,$D$3:$S$23,5)*Реактивы!$H$4+HLOOKUP(R48,$D$3:$S$23,6)*Реактивы!$H$5)/$D$2</f>
        <v>#N/A</v>
      </c>
      <c r="S53" s="151">
        <f>(HLOOKUP(S48,$D$3:$S$23,5)*Реактивы!$H$4+HLOOKUP(S48,$D$3:$S$23,6)*Реактивы!$H$5)/$D$2</f>
        <v>1.3263593539491658</v>
      </c>
      <c r="T53" s="151" t="e">
        <f>(HLOOKUP(T48,$D$3:$S$23,5)*Реактивы!$H$4+HLOOKUP(T48,$D$3:$S$23,6)*Реактивы!$H$5)/$D$2</f>
        <v>#N/A</v>
      </c>
      <c r="U53" s="151">
        <f>(HLOOKUP(U48,$D$3:$S$23,5)*Реактивы!$H$4+HLOOKUP(U48,$D$3:$S$23,6)*Реактивы!$H$5)/$D$2</f>
        <v>1.3263593539491658</v>
      </c>
      <c r="V53" s="151" t="e">
        <f>(HLOOKUP(V48,$D$3:$S$23,5)*Реактивы!$H$4+HLOOKUP(V48,$D$3:$S$23,6)*Реактивы!$H$5)/$D$2</f>
        <v>#N/A</v>
      </c>
      <c r="W53" s="151">
        <f>(HLOOKUP(W48,$D$3:$S$23,5)*Реактивы!$H$4+HLOOKUP(W48,$D$3:$S$23,6)*Реактивы!$H$5)/$D$2</f>
        <v>1.3263593539491658</v>
      </c>
      <c r="X53" s="151" t="e">
        <f>(HLOOKUP(X48,$D$3:$S$23,5)*Реактивы!$H$4+HLOOKUP(X48,$D$3:$S$23,6)*Реактивы!$H$5)/$D$2</f>
        <v>#N/A</v>
      </c>
      <c r="Y53" s="151">
        <f>(HLOOKUP(Y48,$D$3:$S$23,5)*Реактивы!$H$4+HLOOKUP(Y48,$D$3:$S$23,6)*Реактивы!$H$5)/$D$2</f>
        <v>1.3263593539491658</v>
      </c>
    </row>
    <row r="54" spans="1:25">
      <c r="A54" t="str">
        <f>NSW!A6</f>
        <v>Ca</v>
      </c>
      <c r="B54">
        <f>NSW!B6</f>
        <v>0.41118333333333329</v>
      </c>
      <c r="C54">
        <v>0.442</v>
      </c>
      <c r="D54" s="151">
        <f>HLOOKUP(D48,$D$3:$S$23,19)*Реактивы!$H$17/$D$2</f>
        <v>0.4400237258252343</v>
      </c>
      <c r="E54" s="151">
        <f>HLOOKUP(E48,$D$3:$S$23,19)*Реактивы!$H$17/$D$2</f>
        <v>0.4400237258252343</v>
      </c>
      <c r="F54" s="151" t="e">
        <f>HLOOKUP(F48,$D$3:$S$23,19)*Реактивы!$H$17/$D$2</f>
        <v>#N/A</v>
      </c>
      <c r="G54" s="151">
        <f>HLOOKUP(G48,$D$3:$S$23,19)*Реактивы!$H$17/$D$2</f>
        <v>0.44983838141984916</v>
      </c>
      <c r="H54" s="151" t="e">
        <f>HLOOKUP(H48,$D$3:$S$23,19)*Реактивы!$H$17/$D$2</f>
        <v>#N/A</v>
      </c>
      <c r="I54" s="151">
        <f>HLOOKUP(I48,$D$3:$S$23,19)*Реактивы!$H$17/$D$2</f>
        <v>0.35987070513587932</v>
      </c>
      <c r="J54" s="151" t="e">
        <f>HLOOKUP(J48,$D$3:$S$23,19)*Реактивы!$H$17/$D$2</f>
        <v>#N/A</v>
      </c>
      <c r="K54" s="151">
        <f>HLOOKUP(K48,$D$3:$S$23,19)*Реактивы!$H$17/$D$2</f>
        <v>0.39803881022604837</v>
      </c>
      <c r="L54" s="151" t="e">
        <f>HLOOKUP(L48,$D$3:$S$23,19)*Реактивы!$H$17/$D$2</f>
        <v>#N/A</v>
      </c>
      <c r="M54" s="151">
        <f>HLOOKUP(M48,$D$3:$S$23,19)*Реактивы!$H$17/$D$2</f>
        <v>0.31352372038353116</v>
      </c>
      <c r="N54" s="151" t="e">
        <f>HLOOKUP(N48,$D$3:$S$23,19)*Реактивы!$H$17/$D$2</f>
        <v>#N/A</v>
      </c>
      <c r="O54" s="151">
        <f>HLOOKUP(O48,$D$3:$S$23,19)*Реактивы!$H$17/$D$2</f>
        <v>0.41984915599185918</v>
      </c>
      <c r="P54" s="151" t="e">
        <f>HLOOKUP(P48,$D$3:$S$23,19)*Реактивы!$H$17/$D$2</f>
        <v>#N/A</v>
      </c>
      <c r="Q54" s="151">
        <f>HLOOKUP(Q48,$D$3:$S$23,19)*Реактивы!$H$17/$D$2</f>
        <v>0.31079742716280484</v>
      </c>
      <c r="R54" s="151" t="e">
        <f>HLOOKUP(R48,$D$3:$S$23,19)*Реактивы!$H$17/$D$2</f>
        <v>#N/A</v>
      </c>
      <c r="S54" s="151">
        <f>HLOOKUP(S48,$D$3:$S$23,19)*Реактивы!$H$17/$D$2</f>
        <v>0.3762176458363457</v>
      </c>
      <c r="T54" s="151" t="e">
        <f>HLOOKUP(T48,$D$3:$S$23,19)*Реактивы!$H$17/$D$2</f>
        <v>#N/A</v>
      </c>
      <c r="U54" s="151">
        <f>HLOOKUP(U48,$D$3:$S$23,19)*Реактивы!$H$17/$D$2</f>
        <v>0.3762176458363457</v>
      </c>
      <c r="V54" s="151" t="e">
        <f>HLOOKUP(V48,$D$3:$S$23,19)*Реактивы!$H$17/$D$2</f>
        <v>#N/A</v>
      </c>
      <c r="W54" s="151">
        <f>HLOOKUP(W48,$D$3:$S$23,19)*Реактивы!$H$17/$D$2</f>
        <v>0.3762176458363457</v>
      </c>
      <c r="X54" s="151" t="e">
        <f>HLOOKUP(X48,$D$3:$S$23,19)*Реактивы!$H$17/$D$2</f>
        <v>#N/A</v>
      </c>
      <c r="Y54" s="151">
        <f>HLOOKUP(Y48,$D$3:$S$23,19)*Реактивы!$H$17/$D$2</f>
        <v>0.3762176458363457</v>
      </c>
    </row>
    <row r="55" spans="1:25">
      <c r="A55" t="str">
        <f>NSW!A7</f>
        <v>K</v>
      </c>
      <c r="B55">
        <f>NSW!B7</f>
        <v>0.3910142857142857</v>
      </c>
      <c r="C55">
        <v>0.42099999999999999</v>
      </c>
      <c r="D55" s="151">
        <f>(HLOOKUP(D48,$D$3:$S$23,8)*Реактивы!$H$7+HLOOKUP(D48,$D$3:$S$23,9)*Реактивы!$H$8+HLOOKUP(D48,$D$3:$S$23,12)*Реактивы!$H$11+HLOOKUP(D48,$D$3:$S$23,15)*Реактивы!$H$14)/$D$2</f>
        <v>0.41978473280325729</v>
      </c>
      <c r="E55" s="151">
        <f>(HLOOKUP(E48,$D$3:$S$23,8)*Реактивы!$H$7+HLOOKUP(E48,$D$3:$S$23,9)*Реактивы!$H$8+HLOOKUP(E48,$D$3:$S$23,12)*Реактивы!$H$11+HLOOKUP(E48,$D$3:$S$23,15)*Реактивы!$H$14)/$D$2</f>
        <v>0.39097025401526631</v>
      </c>
      <c r="F55" s="151" t="e">
        <f>(HLOOKUP(F48,$D$3:$S$23,8)*Реактивы!$H$7+HLOOKUP(F48,$D$3:$S$23,9)*Реактивы!$H$8+HLOOKUP(F48,$D$3:$S$23,12)*Реактивы!$H$11+HLOOKUP(F48,$D$3:$S$23,15)*Реактивы!$H$14)/$D$2</f>
        <v>#N/A</v>
      </c>
      <c r="G55" s="151">
        <f>(HLOOKUP(G48,$D$3:$S$23,8)*Реактивы!$H$7+HLOOKUP(G48,$D$3:$S$23,9)*Реактивы!$H$8+HLOOKUP(G48,$D$3:$S$23,12)*Реактивы!$H$11+HLOOKUP(G48,$D$3:$S$23,15)*Реактивы!$H$14)/$D$2</f>
        <v>0.37907826902135461</v>
      </c>
      <c r="H55" s="151" t="e">
        <f>(HLOOKUP(H48,$D$3:$S$23,8)*Реактивы!$H$7+HLOOKUP(H48,$D$3:$S$23,9)*Реактивы!$H$8+HLOOKUP(H48,$D$3:$S$23,12)*Реактивы!$H$11+HLOOKUP(H48,$D$3:$S$23,15)*Реактивы!$H$14)/$D$2</f>
        <v>#N/A</v>
      </c>
      <c r="I55" s="151">
        <f>(HLOOKUP(I48,$D$3:$S$23,8)*Реактивы!$H$7+HLOOKUP(I48,$D$3:$S$23,9)*Реактивы!$H$8+HLOOKUP(I48,$D$3:$S$23,12)*Реактивы!$H$11+HLOOKUP(I48,$D$3:$S$23,15)*Реактивы!$H$14)/$D$2</f>
        <v>0.43278250004415608</v>
      </c>
      <c r="J55" s="151" t="e">
        <f>(HLOOKUP(J48,$D$3:$S$23,8)*Реактивы!$H$7+HLOOKUP(J48,$D$3:$S$23,9)*Реактивы!$H$8+HLOOKUP(J48,$D$3:$S$23,12)*Реактивы!$H$11+HLOOKUP(J48,$D$3:$S$23,15)*Реактивы!$H$14)/$D$2</f>
        <v>#N/A</v>
      </c>
      <c r="K55" s="151">
        <f>(HLOOKUP(K48,$D$3:$S$23,8)*Реактивы!$H$7+HLOOKUP(K48,$D$3:$S$23,9)*Реактивы!$H$8+HLOOKUP(K48,$D$3:$S$23,12)*Реактивы!$H$11+HLOOKUP(K48,$D$3:$S$23,15)*Реактивы!$H$14)/$D$2</f>
        <v>0.3894980360225343</v>
      </c>
      <c r="L55" s="151" t="e">
        <f>(HLOOKUP(L48,$D$3:$S$23,8)*Реактивы!$H$7+HLOOKUP(L48,$D$3:$S$23,9)*Реактивы!$H$8+HLOOKUP(L48,$D$3:$S$23,12)*Реактивы!$H$11+HLOOKUP(L48,$D$3:$S$23,15)*Реактивы!$H$14)/$D$2</f>
        <v>#N/A</v>
      </c>
      <c r="M55" s="151">
        <f>(HLOOKUP(M48,$D$3:$S$23,8)*Реактивы!$H$7+HLOOKUP(M48,$D$3:$S$23,9)*Реактивы!$H$8+HLOOKUP(M48,$D$3:$S$23,12)*Реактивы!$H$11+HLOOKUP(M48,$D$3:$S$23,15)*Реактивы!$H$14)/$D$2</f>
        <v>0.36982233614414922</v>
      </c>
      <c r="N55" s="151" t="e">
        <f>(HLOOKUP(N48,$D$3:$S$23,8)*Реактивы!$H$7+HLOOKUP(N48,$D$3:$S$23,9)*Реактивы!$H$8+HLOOKUP(N48,$D$3:$S$23,12)*Реактивы!$H$11+HLOOKUP(N48,$D$3:$S$23,15)*Реактивы!$H$14)/$D$2</f>
        <v>#N/A</v>
      </c>
      <c r="O55" s="151">
        <f>(HLOOKUP(O48,$D$3:$S$23,8)*Реактивы!$H$7+HLOOKUP(O48,$D$3:$S$23,9)*Реактивы!$H$8+HLOOKUP(O48,$D$3:$S$23,12)*Реактивы!$H$11+HLOOKUP(O48,$D$3:$S$23,15)*Реактивы!$H$14)/$D$2</f>
        <v>0.40176323074777398</v>
      </c>
      <c r="P55" s="151" t="e">
        <f>(HLOOKUP(P48,$D$3:$S$23,8)*Реактивы!$H$7+HLOOKUP(P48,$D$3:$S$23,9)*Реактивы!$H$8+HLOOKUP(P48,$D$3:$S$23,12)*Реактивы!$H$11+HLOOKUP(P48,$D$3:$S$23,15)*Реактивы!$H$14)/$D$2</f>
        <v>#N/A</v>
      </c>
      <c r="Q55" s="151">
        <f>(HLOOKUP(Q48,$D$3:$S$23,8)*Реактивы!$H$7+HLOOKUP(Q48,$D$3:$S$23,9)*Реактивы!$H$8+HLOOKUP(Q48,$D$3:$S$23,12)*Реактивы!$H$11+HLOOKUP(Q48,$D$3:$S$23,15)*Реактивы!$H$14)/$D$2</f>
        <v>0.40216366024078176</v>
      </c>
      <c r="R55" s="151" t="e">
        <f>(HLOOKUP(R48,$D$3:$S$23,8)*Реактивы!$H$7+HLOOKUP(R48,$D$3:$S$23,9)*Реактивы!$H$8+HLOOKUP(R48,$D$3:$S$23,12)*Реактивы!$H$11+HLOOKUP(R48,$D$3:$S$23,15)*Реактивы!$H$14)/$D$2</f>
        <v>#N/A</v>
      </c>
      <c r="S55" s="151">
        <f>(HLOOKUP(S48,$D$3:$S$23,8)*Реактивы!$H$7+HLOOKUP(S48,$D$3:$S$23,9)*Реактивы!$H$8+HLOOKUP(S48,$D$3:$S$23,12)*Реактивы!$H$11+HLOOKUP(S48,$D$3:$S$23,15)*Реактивы!$H$14)/$D$2</f>
        <v>0.31461374525890651</v>
      </c>
      <c r="T55" s="151" t="e">
        <f>(HLOOKUP(T48,$D$3:$S$23,8)*Реактивы!$H$7+HLOOKUP(T48,$D$3:$S$23,9)*Реактивы!$H$8+HLOOKUP(T48,$D$3:$S$23,12)*Реактивы!$H$11+HLOOKUP(T48,$D$3:$S$23,15)*Реактивы!$H$14)/$D$2</f>
        <v>#N/A</v>
      </c>
      <c r="U55" s="151">
        <f>(HLOOKUP(U48,$D$3:$S$23,8)*Реактивы!$H$7+HLOOKUP(U48,$D$3:$S$23,9)*Реактивы!$H$8+HLOOKUP(U48,$D$3:$S$23,12)*Реактивы!$H$11+HLOOKUP(U48,$D$3:$S$23,15)*Реактивы!$H$14)/$D$2</f>
        <v>0.31461374525890651</v>
      </c>
      <c r="V55" s="151" t="e">
        <f>(HLOOKUP(V48,$D$3:$S$23,8)*Реактивы!$H$7+HLOOKUP(V48,$D$3:$S$23,9)*Реактивы!$H$8+HLOOKUP(V48,$D$3:$S$23,12)*Реактивы!$H$11+HLOOKUP(V48,$D$3:$S$23,15)*Реактивы!$H$14)/$D$2</f>
        <v>#N/A</v>
      </c>
      <c r="W55" s="151">
        <f>(HLOOKUP(W48,$D$3:$S$23,8)*Реактивы!$H$7+HLOOKUP(W48,$D$3:$S$23,9)*Реактивы!$H$8+HLOOKUP(W48,$D$3:$S$23,12)*Реактивы!$H$11+HLOOKUP(W48,$D$3:$S$23,15)*Реактивы!$H$14)/$D$2</f>
        <v>0.31461374525890651</v>
      </c>
      <c r="X55" s="151" t="e">
        <f>(HLOOKUP(X48,$D$3:$S$23,8)*Реактивы!$H$7+HLOOKUP(X48,$D$3:$S$23,9)*Реактивы!$H$8+HLOOKUP(X48,$D$3:$S$23,12)*Реактивы!$H$11+HLOOKUP(X48,$D$3:$S$23,15)*Реактивы!$H$14)/$D$2</f>
        <v>#N/A</v>
      </c>
      <c r="Y55" s="151">
        <f>(HLOOKUP(Y48,$D$3:$S$23,8)*Реактивы!$H$7+HLOOKUP(Y48,$D$3:$S$23,9)*Реактивы!$H$8+HLOOKUP(Y48,$D$3:$S$23,12)*Реактивы!$H$11+HLOOKUP(Y48,$D$3:$S$23,15)*Реактивы!$H$14)/$D$2</f>
        <v>0.31461374525890651</v>
      </c>
    </row>
    <row r="56" spans="1:25">
      <c r="A56" t="str">
        <f>NSW!A8</f>
        <v xml:space="preserve">HCO3 </v>
      </c>
      <c r="B56">
        <f>NSW!B8</f>
        <v>0.13083052722433608</v>
      </c>
      <c r="C56">
        <v>0.14199999999999999</v>
      </c>
      <c r="D56" s="151">
        <f>(HLOOKUP(D48,$D$3:$S$23,10)*Реактивы!$K$9+HLOOKUP(D48,$D$3:$S$23,11)*Реактивы!$K$10)/$D$2</f>
        <v>0.14526638823467092</v>
      </c>
      <c r="E56" s="151">
        <f>(HLOOKUP(E48,$D$3:$S$23,10)*Реактивы!$K$9+HLOOKUP(E48,$D$3:$S$23,11)*Реактивы!$K$10)/$D$2</f>
        <v>0.13073974941120384</v>
      </c>
      <c r="F56" s="151" t="e">
        <f>(HLOOKUP(F48,$D$3:$S$23,10)*Реактивы!$K$9+HLOOKUP(F48,$D$3:$S$23,11)*Реактивы!$K$10)/$D$2</f>
        <v>#N/A</v>
      </c>
      <c r="G56" s="151">
        <f>(HLOOKUP(G48,$D$3:$S$23,10)*Реактивы!$K$9+HLOOKUP(G48,$D$3:$S$23,11)*Реактивы!$K$10)/$D$2</f>
        <v>0.15252970764640447</v>
      </c>
      <c r="H56" s="151" t="e">
        <f>(HLOOKUP(H48,$D$3:$S$23,10)*Реактивы!$K$9+HLOOKUP(H48,$D$3:$S$23,11)*Реактивы!$K$10)/$D$2</f>
        <v>#N/A</v>
      </c>
      <c r="I56" s="151">
        <f>(HLOOKUP(I48,$D$3:$S$23,10)*Реактивы!$K$9+HLOOKUP(I48,$D$3:$S$23,11)*Реактивы!$K$10)/$D$2</f>
        <v>0.17431966588160513</v>
      </c>
      <c r="J56" s="151" t="e">
        <f>(HLOOKUP(J48,$D$3:$S$23,10)*Реактивы!$K$9+HLOOKUP(J48,$D$3:$S$23,11)*Реактивы!$K$10)/$D$2</f>
        <v>#N/A</v>
      </c>
      <c r="K56" s="151">
        <f>(HLOOKUP(K48,$D$3:$S$23,10)*Реактивы!$K$9+HLOOKUP(K48,$D$3:$S$23,11)*Реактивы!$K$10)/$D$2</f>
        <v>0.13073974941120384</v>
      </c>
      <c r="L56" s="151" t="e">
        <f>(HLOOKUP(L48,$D$3:$S$23,10)*Реактивы!$K$9+HLOOKUP(L48,$D$3:$S$23,11)*Реактивы!$K$10)/$D$2</f>
        <v>#N/A</v>
      </c>
      <c r="M56" s="151">
        <f>(HLOOKUP(M48,$D$3:$S$23,10)*Реактивы!$K$9+HLOOKUP(M48,$D$3:$S$23,11)*Реактивы!$K$10)/$D$2</f>
        <v>0.14526638823467092</v>
      </c>
      <c r="N56" s="151" t="e">
        <f>(HLOOKUP(N48,$D$3:$S$23,10)*Реактивы!$K$9+HLOOKUP(N48,$D$3:$S$23,11)*Реактивы!$K$10)/$D$2</f>
        <v>#N/A</v>
      </c>
      <c r="O56" s="151">
        <f>(HLOOKUP(O48,$D$3:$S$23,10)*Реактивы!$K$9+HLOOKUP(O48,$D$3:$S$23,11)*Реактивы!$K$10)/$D$2</f>
        <v>0.1236819413805766</v>
      </c>
      <c r="P56" s="151" t="e">
        <f>(HLOOKUP(P48,$D$3:$S$23,10)*Реактивы!$K$9+HLOOKUP(P48,$D$3:$S$23,11)*Реактивы!$K$10)/$D$2</f>
        <v>#N/A</v>
      </c>
      <c r="Q56" s="151">
        <f>(HLOOKUP(Q48,$D$3:$S$23,10)*Реактивы!$K$9+HLOOKUP(Q48,$D$3:$S$23,11)*Реактивы!$K$10)/$D$2</f>
        <v>0.124929093881817</v>
      </c>
      <c r="R56" s="151" t="e">
        <f>(HLOOKUP(R48,$D$3:$S$23,10)*Реактивы!$K$9+HLOOKUP(R48,$D$3:$S$23,11)*Реактивы!$K$10)/$D$2</f>
        <v>#N/A</v>
      </c>
      <c r="S56" s="151">
        <f>(HLOOKUP(S48,$D$3:$S$23,10)*Реактивы!$K$9+HLOOKUP(S48,$D$3:$S$23,11)*Реактивы!$K$10)/$D$2</f>
        <v>0.15252010008104502</v>
      </c>
      <c r="T56" s="151" t="e">
        <f>(HLOOKUP(T48,$D$3:$S$23,10)*Реактивы!$K$9+HLOOKUP(T48,$D$3:$S$23,11)*Реактивы!$K$10)/$D$2</f>
        <v>#N/A</v>
      </c>
      <c r="U56" s="151">
        <f>(HLOOKUP(U48,$D$3:$S$23,10)*Реактивы!$K$9+HLOOKUP(U48,$D$3:$S$23,11)*Реактивы!$K$10)/$D$2</f>
        <v>0.15252010008104502</v>
      </c>
      <c r="V56" s="151" t="e">
        <f>(HLOOKUP(V48,$D$3:$S$23,10)*Реактивы!$K$9+HLOOKUP(V48,$D$3:$S$23,11)*Реактивы!$K$10)/$D$2</f>
        <v>#N/A</v>
      </c>
      <c r="W56" s="151">
        <f>(HLOOKUP(W48,$D$3:$S$23,10)*Реактивы!$K$9+HLOOKUP(W48,$D$3:$S$23,11)*Реактивы!$K$10)/$D$2</f>
        <v>0.15252010008104502</v>
      </c>
      <c r="X56" s="151" t="e">
        <f>(HLOOKUP(X48,$D$3:$S$23,10)*Реактивы!$K$9+HLOOKUP(X48,$D$3:$S$23,11)*Реактивы!$K$10)/$D$2</f>
        <v>#N/A</v>
      </c>
      <c r="Y56" s="151">
        <f>(HLOOKUP(Y48,$D$3:$S$23,10)*Реактивы!$K$9+HLOOKUP(Y48,$D$3:$S$23,11)*Реактивы!$K$10)/$D$2</f>
        <v>0.15252010008104502</v>
      </c>
    </row>
    <row r="57" spans="1:25">
      <c r="A57" t="str">
        <f>NSW!A9</f>
        <v>Br</v>
      </c>
      <c r="B57">
        <f>NSW!B9</f>
        <v>6.708571428571429E-2</v>
      </c>
      <c r="C57">
        <v>6.4000000000000001E-2</v>
      </c>
      <c r="D57" s="151">
        <f>HLOOKUP(D48,$D$3:$S$23,12)*Реактивы!$K$11/$D$2</f>
        <v>6.5799976471774532E-2</v>
      </c>
      <c r="E57" s="151">
        <f>HLOOKUP(E48,$D$3:$S$23,12)*Реактивы!$K$11/$D$2</f>
        <v>6.7142833134463814E-2</v>
      </c>
      <c r="F57" s="151" t="e">
        <f>HLOOKUP(F48,$D$3:$S$23,12)*Реактивы!$K$11/$D$2</f>
        <v>#N/A</v>
      </c>
      <c r="G57" s="151">
        <f>HLOOKUP(G48,$D$3:$S$23,12)*Реактивы!$K$11/$D$2</f>
        <v>6.7142833134463814E-2</v>
      </c>
      <c r="H57" s="151" t="e">
        <f>HLOOKUP(H48,$D$3:$S$23,12)*Реактивы!$K$11/$D$2</f>
        <v>#N/A</v>
      </c>
      <c r="I57" s="151">
        <f>HLOOKUP(I48,$D$3:$S$23,12)*Реактивы!$K$11/$D$2</f>
        <v>8.0571399761356577E-2</v>
      </c>
      <c r="J57" s="151" t="e">
        <f>HLOOKUP(J48,$D$3:$S$23,12)*Реактивы!$K$11/$D$2</f>
        <v>#N/A</v>
      </c>
      <c r="K57" s="151">
        <f>HLOOKUP(K48,$D$3:$S$23,12)*Реактивы!$K$11/$D$2</f>
        <v>6.7142833134463814E-2</v>
      </c>
      <c r="L57" s="151" t="e">
        <f>HLOOKUP(L48,$D$3:$S$23,12)*Реактивы!$K$11/$D$2</f>
        <v>#N/A</v>
      </c>
      <c r="M57" s="151">
        <f>HLOOKUP(M48,$D$3:$S$23,12)*Реактивы!$K$11/$D$2</f>
        <v>0</v>
      </c>
      <c r="N57" s="151" t="e">
        <f>HLOOKUP(N48,$D$3:$S$23,12)*Реактивы!$K$11/$D$2</f>
        <v>#N/A</v>
      </c>
      <c r="O57" s="151">
        <f>HLOOKUP(O48,$D$3:$S$23,12)*Реактивы!$K$11/$D$2</f>
        <v>6.8485689797153082E-2</v>
      </c>
      <c r="P57" s="151" t="e">
        <f>HLOOKUP(P48,$D$3:$S$23,12)*Реактивы!$K$11/$D$2</f>
        <v>#N/A</v>
      </c>
      <c r="Q57" s="151">
        <f>HLOOKUP(Q48,$D$3:$S$23,12)*Реактивы!$K$11/$D$2</f>
        <v>6.7142833134463814E-2</v>
      </c>
      <c r="R57" s="151" t="e">
        <f>HLOOKUP(R48,$D$3:$S$23,12)*Реактивы!$K$11/$D$2</f>
        <v>#N/A</v>
      </c>
      <c r="S57" s="151">
        <f>HLOOKUP(S48,$D$3:$S$23,12)*Реактивы!$K$11/$D$2</f>
        <v>0</v>
      </c>
      <c r="T57" s="151" t="e">
        <f>HLOOKUP(T48,$D$3:$S$23,12)*Реактивы!$K$11/$D$2</f>
        <v>#N/A</v>
      </c>
      <c r="U57" s="151">
        <f>HLOOKUP(U48,$D$3:$S$23,12)*Реактивы!$K$11/$D$2</f>
        <v>0</v>
      </c>
      <c r="V57" s="151" t="e">
        <f>HLOOKUP(V48,$D$3:$S$23,12)*Реактивы!$K$11/$D$2</f>
        <v>#N/A</v>
      </c>
      <c r="W57" s="151">
        <f>HLOOKUP(W48,$D$3:$S$23,12)*Реактивы!$K$11/$D$2</f>
        <v>0</v>
      </c>
      <c r="X57" s="151" t="e">
        <f>HLOOKUP(X48,$D$3:$S$23,12)*Реактивы!$K$11/$D$2</f>
        <v>#N/A</v>
      </c>
      <c r="Y57" s="151">
        <f>HLOOKUP(Y48,$D$3:$S$23,12)*Реактивы!$K$11/$D$2</f>
        <v>0</v>
      </c>
    </row>
    <row r="58" spans="1:25">
      <c r="A58" t="str">
        <f>NSW!A10</f>
        <v>Н3ВО3</v>
      </c>
      <c r="B58">
        <f>NSW!B10</f>
        <v>2.4815278710836847E-2</v>
      </c>
      <c r="C58">
        <v>9.1499999999999998E-2</v>
      </c>
      <c r="D58" s="151">
        <f>HLOOKUP(D48,$D$3:$S$23,13)/$D$2</f>
        <v>1.4999999999999999E-2</v>
      </c>
      <c r="E58" s="151">
        <f t="shared" ref="E58:Y58" si="5">HLOOKUP(E48,$D$3:$S$23,13)/$D$2</f>
        <v>2.5000000000000001E-2</v>
      </c>
      <c r="F58" s="151" t="e">
        <f t="shared" si="5"/>
        <v>#N/A</v>
      </c>
      <c r="G58" s="151">
        <f t="shared" si="5"/>
        <v>2.7000000000000003E-2</v>
      </c>
      <c r="H58" s="151" t="e">
        <f t="shared" si="5"/>
        <v>#N/A</v>
      </c>
      <c r="I58" s="151">
        <f t="shared" si="5"/>
        <v>3.0000000000000001E-3</v>
      </c>
      <c r="J58" s="151" t="e">
        <f t="shared" si="5"/>
        <v>#N/A</v>
      </c>
      <c r="K58" s="151">
        <f t="shared" si="5"/>
        <v>0.03</v>
      </c>
      <c r="L58" s="151" t="e">
        <f t="shared" si="5"/>
        <v>#N/A</v>
      </c>
      <c r="M58" s="151">
        <f t="shared" si="5"/>
        <v>2.5000000000000001E-2</v>
      </c>
      <c r="N58" s="151" t="e">
        <f t="shared" si="5"/>
        <v>#N/A</v>
      </c>
      <c r="O58" s="151">
        <f t="shared" si="5"/>
        <v>2.6000000000000002E-2</v>
      </c>
      <c r="P58" s="151" t="e">
        <f t="shared" si="5"/>
        <v>#N/A</v>
      </c>
      <c r="Q58" s="151">
        <f t="shared" si="5"/>
        <v>2.5399999999999999E-2</v>
      </c>
      <c r="R58" s="151" t="e">
        <f t="shared" si="5"/>
        <v>#N/A</v>
      </c>
      <c r="S58" s="151">
        <f t="shared" si="5"/>
        <v>0</v>
      </c>
      <c r="T58" s="151" t="e">
        <f t="shared" si="5"/>
        <v>#N/A</v>
      </c>
      <c r="U58" s="151">
        <f t="shared" si="5"/>
        <v>0</v>
      </c>
      <c r="V58" s="151" t="e">
        <f t="shared" si="5"/>
        <v>#N/A</v>
      </c>
      <c r="W58" s="151">
        <f t="shared" si="5"/>
        <v>0</v>
      </c>
      <c r="X58" s="151" t="e">
        <f t="shared" si="5"/>
        <v>#N/A</v>
      </c>
      <c r="Y58" s="151">
        <f t="shared" si="5"/>
        <v>0</v>
      </c>
    </row>
    <row r="59" spans="1:25">
      <c r="A59" t="str">
        <f>NSW!A11</f>
        <v>Sr</v>
      </c>
      <c r="B59">
        <f>NSW!B11</f>
        <v>8.0257142857142871E-3</v>
      </c>
      <c r="C59">
        <v>9.4999999999999998E-3</v>
      </c>
      <c r="D59" s="151">
        <f>(HLOOKUP(D48,$D$3:$S$23,20)*Реактивы!$H$18+HLOOKUP(D48,$D$3:$S$23,21)*Реактивы!$H$19)/$D$2</f>
        <v>2.6291941978887227E-2</v>
      </c>
      <c r="E59" s="151">
        <f>(HLOOKUP(E48,$D$3:$S$23,20)*Реактивы!$H$18+HLOOKUP(E48,$D$3:$S$23,21)*Реактивы!$H$19)/$D$2</f>
        <v>1.3145970989443614E-2</v>
      </c>
      <c r="F59" s="151" t="e">
        <f>(HLOOKUP(F48,$D$3:$S$23,20)*Реактивы!$H$18+HLOOKUP(F48,$D$3:$S$23,21)*Реактивы!$H$19)/$D$2</f>
        <v>#N/A</v>
      </c>
      <c r="G59" s="151">
        <f>(HLOOKUP(G48,$D$3:$S$23,20)*Реактивы!$H$18+HLOOKUP(G48,$D$3:$S$23,21)*Реактивы!$H$19)/$D$2</f>
        <v>7.8218527387189513E-3</v>
      </c>
      <c r="H59" s="151" t="e">
        <f>(HLOOKUP(H48,$D$3:$S$23,20)*Реактивы!$H$18+HLOOKUP(H48,$D$3:$S$23,21)*Реактивы!$H$19)/$D$2</f>
        <v>#N/A</v>
      </c>
      <c r="I59" s="151">
        <f>(HLOOKUP(I48,$D$3:$S$23,20)*Реактивы!$H$18+HLOOKUP(I48,$D$3:$S$23,21)*Реактивы!$H$19)/$D$2</f>
        <v>4.7481073377346724E-3</v>
      </c>
      <c r="J59" s="151" t="e">
        <f>(HLOOKUP(J48,$D$3:$S$23,20)*Реактивы!$H$18+HLOOKUP(J48,$D$3:$S$23,21)*Реактивы!$H$19)/$D$2</f>
        <v>#N/A</v>
      </c>
      <c r="K59" s="151">
        <f>(HLOOKUP(K48,$D$3:$S$23,20)*Реактивы!$H$18+HLOOKUP(K48,$D$3:$S$23,21)*Реактивы!$H$19)/$D$2</f>
        <v>0</v>
      </c>
      <c r="L59" s="151" t="e">
        <f>(HLOOKUP(L48,$D$3:$S$23,20)*Реактивы!$H$18+HLOOKUP(L48,$D$3:$S$23,21)*Реактивы!$H$19)/$D$2</f>
        <v>#N/A</v>
      </c>
      <c r="M59" s="151">
        <f>(HLOOKUP(M48,$D$3:$S$23,20)*Реактивы!$H$18+HLOOKUP(M48,$D$3:$S$23,21)*Реактивы!$H$19)/$D$2</f>
        <v>7.8875825936661689E-3</v>
      </c>
      <c r="N59" s="151" t="e">
        <f>(HLOOKUP(N48,$D$3:$S$23,20)*Реактивы!$H$18+HLOOKUP(N48,$D$3:$S$23,21)*Реактивы!$H$19)/$D$2</f>
        <v>#N/A</v>
      </c>
      <c r="O59" s="151">
        <f>(HLOOKUP(O48,$D$3:$S$23,20)*Реактивы!$H$18+HLOOKUP(O48,$D$3:$S$23,21)*Реактивы!$H$19)/$D$2</f>
        <v>8.216231868402259E-3</v>
      </c>
      <c r="P59" s="151" t="e">
        <f>(HLOOKUP(P48,$D$3:$S$23,20)*Реактивы!$H$18+HLOOKUP(P48,$D$3:$S$23,21)*Реактивы!$H$19)/$D$2</f>
        <v>#N/A</v>
      </c>
      <c r="Q59" s="151">
        <f>(HLOOKUP(Q48,$D$3:$S$23,20)*Реактивы!$H$18+HLOOKUP(Q48,$D$3:$S$23,21)*Реактивы!$H$19)/$D$2</f>
        <v>4.699684628726092E-3</v>
      </c>
      <c r="R59" s="151" t="e">
        <f>(HLOOKUP(R48,$D$3:$S$23,20)*Реактивы!$H$18+HLOOKUP(R48,$D$3:$S$23,21)*Реактивы!$H$19)/$D$2</f>
        <v>#N/A</v>
      </c>
      <c r="S59" s="151">
        <f>(HLOOKUP(S48,$D$3:$S$23,20)*Реактивы!$H$18+HLOOKUP(S48,$D$3:$S$23,21)*Реактивы!$H$19)/$D$2</f>
        <v>0</v>
      </c>
      <c r="T59" s="151" t="e">
        <f>(HLOOKUP(T48,$D$3:$S$23,20)*Реактивы!$H$18+HLOOKUP(T48,$D$3:$S$23,21)*Реактивы!$H$19)/$D$2</f>
        <v>#N/A</v>
      </c>
      <c r="U59" s="151">
        <f>(HLOOKUP(U48,$D$3:$S$23,20)*Реактивы!$H$18+HLOOKUP(U48,$D$3:$S$23,21)*Реактивы!$H$19)/$D$2</f>
        <v>0</v>
      </c>
      <c r="V59" s="151" t="e">
        <f>(HLOOKUP(V48,$D$3:$S$23,20)*Реактивы!$H$18+HLOOKUP(V48,$D$3:$S$23,21)*Реактивы!$H$19)/$D$2</f>
        <v>#N/A</v>
      </c>
      <c r="W59" s="151">
        <f>(HLOOKUP(W48,$D$3:$S$23,20)*Реактивы!$H$18+HLOOKUP(W48,$D$3:$S$23,21)*Реактивы!$H$19)/$D$2</f>
        <v>0</v>
      </c>
      <c r="X59" s="151" t="e">
        <f>(HLOOKUP(X48,$D$3:$S$23,20)*Реактивы!$H$18+HLOOKUP(X48,$D$3:$S$23,21)*Реактивы!$H$19)/$D$2</f>
        <v>#N/A</v>
      </c>
      <c r="Y59" s="151">
        <f>(HLOOKUP(Y48,$D$3:$S$23,20)*Реактивы!$H$18+HLOOKUP(Y48,$D$3:$S$23,21)*Реактивы!$H$19)/$D$2</f>
        <v>0</v>
      </c>
    </row>
    <row r="60" spans="1:25">
      <c r="A60" t="str">
        <f>NSW!A12</f>
        <v>F</v>
      </c>
      <c r="B60" s="165">
        <f>NSW!B12</f>
        <v>1.2866666666666666E-3</v>
      </c>
      <c r="C60">
        <v>9.4999999999999998E-3</v>
      </c>
      <c r="D60" s="151">
        <f>(HLOOKUP(D48,$D$3:$S$23,14)*Реактивы!$K$13+HLOOKUP(D48,$D$3:$S$23,15)*Реактивы!$K$14+HLOOKUP(D48,$D$3:$S$23,16)*Реактивы!$K$15)/$D$2</f>
        <v>1.4648295642921581E-3</v>
      </c>
      <c r="E60" s="151">
        <f>(HLOOKUP(E48,$D$3:$S$23,14)*Реактивы!$K$13+HLOOKUP(E48,$D$3:$S$23,15)*Реактивы!$K$14+HLOOKUP(E48,$D$3:$S$23,16)*Реактивы!$K$15)/$D$2</f>
        <v>1.4648295642921581E-3</v>
      </c>
      <c r="F60" s="151" t="e">
        <f>(HLOOKUP(F48,$D$3:$S$23,14)*Реактивы!$K$13+HLOOKUP(F48,$D$3:$S$23,15)*Реактивы!$K$14+HLOOKUP(F48,$D$3:$S$23,16)*Реактивы!$K$15)/$D$2</f>
        <v>#N/A</v>
      </c>
      <c r="G60" s="151">
        <f>(HLOOKUP(G48,$D$3:$S$23,14)*Реактивы!$K$13+HLOOKUP(G48,$D$3:$S$23,15)*Реактивы!$K$14+HLOOKUP(G48,$D$3:$S$23,16)*Реактивы!$K$15)/$D$2</f>
        <v>1.3079703409959315E-3</v>
      </c>
      <c r="H60" s="151" t="e">
        <f>(HLOOKUP(H48,$D$3:$S$23,14)*Реактивы!$K$13+HLOOKUP(H48,$D$3:$S$23,15)*Реактивы!$K$14+HLOOKUP(H48,$D$3:$S$23,16)*Реактивы!$K$15)/$D$2</f>
        <v>#N/A</v>
      </c>
      <c r="I60" s="151">
        <f>(HLOOKUP(I48,$D$3:$S$23,14)*Реактивы!$K$13+HLOOKUP(I48,$D$3:$S$23,15)*Реактивы!$K$14+HLOOKUP(I48,$D$3:$S$23,16)*Реактивы!$K$15)/$D$2</f>
        <v>0</v>
      </c>
      <c r="J60" s="151" t="e">
        <f>(HLOOKUP(J48,$D$3:$S$23,14)*Реактивы!$K$13+HLOOKUP(J48,$D$3:$S$23,15)*Реактивы!$K$14+HLOOKUP(J48,$D$3:$S$23,16)*Реактивы!$K$15)/$D$2</f>
        <v>#N/A</v>
      </c>
      <c r="K60" s="151">
        <f>(HLOOKUP(K48,$D$3:$S$23,14)*Реактивы!$K$13+HLOOKUP(K48,$D$3:$S$23,15)*Реактивы!$K$14+HLOOKUP(K48,$D$3:$S$23,16)*Реактивы!$K$15)/$D$2</f>
        <v>0</v>
      </c>
      <c r="L60" s="151" t="e">
        <f>(HLOOKUP(L48,$D$3:$S$23,14)*Реактивы!$K$13+HLOOKUP(L48,$D$3:$S$23,15)*Реактивы!$K$14+HLOOKUP(L48,$D$3:$S$23,16)*Реактивы!$K$15)/$D$2</f>
        <v>#N/A</v>
      </c>
      <c r="M60" s="151">
        <f>(HLOOKUP(M48,$D$3:$S$23,14)*Реактивы!$K$13+HLOOKUP(M48,$D$3:$S$23,15)*Реактивы!$K$14+HLOOKUP(M48,$D$3:$S$23,16)*Реактивы!$K$15)/$D$2</f>
        <v>1.3079703409959315E-3</v>
      </c>
      <c r="N60" s="151" t="e">
        <f>(HLOOKUP(N48,$D$3:$S$23,14)*Реактивы!$K$13+HLOOKUP(N48,$D$3:$S$23,15)*Реактивы!$K$14+HLOOKUP(N48,$D$3:$S$23,16)*Реактивы!$K$15)/$D$2</f>
        <v>#N/A</v>
      </c>
      <c r="O60" s="151">
        <f>(HLOOKUP(O48,$D$3:$S$23,14)*Реактивы!$K$13+HLOOKUP(O48,$D$3:$S$23,15)*Реактивы!$K$14+HLOOKUP(O48,$D$3:$S$23,16)*Реактивы!$K$15)/$D$2</f>
        <v>1.3079703409959315E-3</v>
      </c>
      <c r="P60" s="151" t="e">
        <f>(HLOOKUP(P48,$D$3:$S$23,14)*Реактивы!$K$13+HLOOKUP(P48,$D$3:$S$23,15)*Реактивы!$K$14+HLOOKUP(P48,$D$3:$S$23,16)*Реактивы!$K$15)/$D$2</f>
        <v>#N/A</v>
      </c>
      <c r="Q60" s="151">
        <f>(HLOOKUP(Q48,$D$3:$S$23,14)*Реактивы!$K$13+HLOOKUP(Q48,$D$3:$S$23,15)*Реактивы!$K$14+HLOOKUP(Q48,$D$3:$S$23,16)*Реактивы!$K$15)/$D$2</f>
        <v>1.3121629410167619E-3</v>
      </c>
      <c r="R60" s="151" t="e">
        <f>(HLOOKUP(R48,$D$3:$S$23,14)*Реактивы!$K$13+HLOOKUP(R48,$D$3:$S$23,15)*Реактивы!$K$14+HLOOKUP(R48,$D$3:$S$23,16)*Реактивы!$K$15)/$D$2</f>
        <v>#N/A</v>
      </c>
      <c r="S60" s="151">
        <f>(HLOOKUP(S48,$D$3:$S$23,14)*Реактивы!$K$13+HLOOKUP(S48,$D$3:$S$23,15)*Реактивы!$K$14+HLOOKUP(S48,$D$3:$S$23,16)*Реактивы!$K$15)/$D$2</f>
        <v>0</v>
      </c>
      <c r="T60" s="151" t="e">
        <f>(HLOOKUP(T48,$D$3:$S$23,14)*Реактивы!$K$13+HLOOKUP(T48,$D$3:$S$23,15)*Реактивы!$K$14+HLOOKUP(T48,$D$3:$S$23,16)*Реактивы!$K$15)/$D$2</f>
        <v>#N/A</v>
      </c>
      <c r="U60" s="151">
        <f>(HLOOKUP(U48,$D$3:$S$23,14)*Реактивы!$K$13+HLOOKUP(U48,$D$3:$S$23,15)*Реактивы!$K$14+HLOOKUP(U48,$D$3:$S$23,16)*Реактивы!$K$15)/$D$2</f>
        <v>0</v>
      </c>
      <c r="V60" s="151" t="e">
        <f>(HLOOKUP(V48,$D$3:$S$23,14)*Реактивы!$K$13+HLOOKUP(V48,$D$3:$S$23,15)*Реактивы!$K$14+HLOOKUP(V48,$D$3:$S$23,16)*Реактивы!$K$15)/$D$2</f>
        <v>#N/A</v>
      </c>
      <c r="W60" s="151">
        <f>(HLOOKUP(W48,$D$3:$S$23,14)*Реактивы!$K$13+HLOOKUP(W48,$D$3:$S$23,15)*Реактивы!$K$14+HLOOKUP(W48,$D$3:$S$23,16)*Реактивы!$K$15)/$D$2</f>
        <v>0</v>
      </c>
      <c r="X60" s="151" t="e">
        <f>(HLOOKUP(X48,$D$3:$S$23,14)*Реактивы!$K$13+HLOOKUP(X48,$D$3:$S$23,15)*Реактивы!$K$14+HLOOKUP(X48,$D$3:$S$23,16)*Реактивы!$K$15)/$D$2</f>
        <v>#N/A</v>
      </c>
      <c r="Y60" s="151">
        <f>(HLOOKUP(Y48,$D$3:$S$23,14)*Реактивы!$K$13+HLOOKUP(Y48,$D$3:$S$23,15)*Реактивы!$K$14+HLOOKUP(Y48,$D$3:$S$23,16)*Реактивы!$K$15)/$D$2</f>
        <v>0</v>
      </c>
    </row>
    <row r="61" spans="1:25">
      <c r="A61" t="str">
        <f>NSW!A13</f>
        <v>I</v>
      </c>
      <c r="B61" s="165">
        <f>NSW!B13</f>
        <v>6.3333333333333332E-5</v>
      </c>
      <c r="C61">
        <v>6.0000000000000002E-5</v>
      </c>
      <c r="D61" s="182">
        <f>(HLOOKUP(D48,D3:S44,41)*Реактивы!K28+HLOOKUP(D48,D3:S44,42)*Реактивы!$K$30)/$D$2/1000</f>
        <v>5.9999999999999995E-5</v>
      </c>
      <c r="E61" s="151" t="e">
        <f>(HLOOKUP(E48,F3:Z44,41)*Реактивы!L28+HLOOKUP(E48,F3:Z44,42)*Реактивы!$K$30)/$D$2/1000</f>
        <v>#N/A</v>
      </c>
      <c r="F61" s="151"/>
      <c r="G61" s="151">
        <f>(HLOOKUP(G48,E3:AA44,41)*Реактивы!M28+HLOOKUP(G48,E3:AA44,42)*Реактивы!$K$30)/$D$2/1000</f>
        <v>5.3369109000832716E-5</v>
      </c>
      <c r="H61" s="151"/>
      <c r="I61" s="151">
        <f>(HLOOKUP(I48,G3:AB44,41)*Реактивы!N28+HLOOKUP(I48,G3:AB44,42)*Реактивы!$K$30)/$D$2/1000</f>
        <v>0</v>
      </c>
      <c r="J61" s="151"/>
      <c r="K61" s="151">
        <f>(HLOOKUP(K48,H3:AC44,41)*Реактивы!O28+HLOOKUP(K48,H3:AC44,42)*Реактивы!$K$30)/$D$2/1000</f>
        <v>0</v>
      </c>
      <c r="L61" s="151"/>
      <c r="M61" s="151">
        <f>(HLOOKUP(M48,I3:AD44,41)*Реактивы!P28+HLOOKUP(M48,I3:AD44,42)*Реактивы!$K$30)/$D$2/1000</f>
        <v>5.9299010000925234E-5</v>
      </c>
      <c r="N61" s="151"/>
      <c r="O61" s="151">
        <f>(HLOOKUP(O48,J3:AE44,41)*Реактивы!Q28+HLOOKUP(O48,J3:AE44,42)*Реактивы!$K$30)/$D$2/1000</f>
        <v>5.9299010000925234E-5</v>
      </c>
      <c r="P61" s="151"/>
      <c r="Q61" s="151">
        <f>(HLOOKUP(Q48,K3:AF44,41)*Реактивы!R28+HLOOKUP(Q48,K3:AF44,42)*Реактивы!$K$30)/$D$2/1000</f>
        <v>0</v>
      </c>
      <c r="R61" s="151"/>
      <c r="S61" s="151">
        <f>(HLOOKUP(S48,L3:AG44,41)*Реактивы!S28+HLOOKUP(S48,L3:AG44,42)*Реактивы!$K$30)/$D$2/1000</f>
        <v>0</v>
      </c>
      <c r="T61" s="151"/>
      <c r="U61" s="151">
        <f>(HLOOKUP(U48,M3:AH44,41)*Реактивы!T28+HLOOKUP(U48,M3:AH44,42)*Реактивы!$K$30)/$D$2/1000</f>
        <v>0</v>
      </c>
      <c r="V61" s="151"/>
      <c r="W61" s="151">
        <f>(HLOOKUP(W48,N3:AI44,41)*Реактивы!U28+HLOOKUP(W48,N3:AI44,42)*Реактивы!$K$30)/$D$2/1000</f>
        <v>0</v>
      </c>
      <c r="X61" s="151"/>
      <c r="Y61" s="151">
        <f>(HLOOKUP(Y48,O3:AJ44,41)*Реактивы!V28+HLOOKUP(Y48,O3:AJ44,42)*Реактивы!$K$30)/$D$2/1000</f>
        <v>0</v>
      </c>
    </row>
    <row r="62" spans="1:25"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</row>
    <row r="63" spans="1:25"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</row>
    <row r="64" spans="1:25"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</row>
    <row r="65" spans="1:25">
      <c r="A65" t="str">
        <f t="shared" ref="A65:A76" si="6">A50</f>
        <v>Cl</v>
      </c>
      <c r="C65" s="128">
        <f t="shared" ref="C65:E76" si="7">(C50-$B50)/$B50</f>
        <v>-1.0362204817392731E-3</v>
      </c>
      <c r="D65" s="154">
        <f t="shared" si="7"/>
        <v>1.9182503150404161E-2</v>
      </c>
      <c r="E65" s="154">
        <f t="shared" si="7"/>
        <v>2.8593236467425744E-3</v>
      </c>
      <c r="F65" s="151"/>
      <c r="G65" s="154">
        <f t="shared" ref="G65:G76" si="8">(G50-$B50)/$B50</f>
        <v>2.2300182621051327E-2</v>
      </c>
      <c r="H65" s="151"/>
      <c r="I65" s="154">
        <f t="shared" ref="I65:I76" si="9">(I50-$B50)/$B50</f>
        <v>0.11550504377453819</v>
      </c>
      <c r="J65" s="151"/>
      <c r="K65" s="154">
        <f t="shared" ref="K65:K76" si="10">(K50-$B50)/$B50</f>
        <v>-4.4129635484133865E-2</v>
      </c>
      <c r="L65" s="151"/>
      <c r="M65" s="154">
        <f t="shared" ref="M65:M76" si="11">(M50-$B50)/$B50</f>
        <v>-1.2124616313121081E-2</v>
      </c>
      <c r="N65" s="151"/>
      <c r="O65" s="154">
        <f t="shared" ref="O65:O76" si="12">(O50-$B50)/$B50</f>
        <v>1.5742389999798542E-2</v>
      </c>
      <c r="P65" s="151"/>
      <c r="Q65" s="154">
        <f t="shared" ref="Q65:Q76" si="13">(Q50-$B50)/$B50</f>
        <v>-9.2040876768563033E-3</v>
      </c>
      <c r="R65" s="151"/>
      <c r="S65" s="154">
        <f t="shared" ref="S65:S76" si="14">(S50-$B50)/$B50</f>
        <v>1.139346931893548E-2</v>
      </c>
      <c r="T65" s="151"/>
      <c r="U65" s="154">
        <f t="shared" ref="U65:U76" si="15">(U50-$B50)/$B50</f>
        <v>1.139346931893548E-2</v>
      </c>
      <c r="V65" s="151"/>
      <c r="W65" s="154">
        <f t="shared" ref="W65:W76" si="16">(W50-$B50)/$B50</f>
        <v>1.139346931893548E-2</v>
      </c>
      <c r="X65" s="151"/>
      <c r="Y65" s="154">
        <f t="shared" ref="Y65:Y76" si="17">(Y50-$B50)/$B50</f>
        <v>1.139346931893548E-2</v>
      </c>
    </row>
    <row r="66" spans="1:25">
      <c r="A66" t="str">
        <f t="shared" si="6"/>
        <v>Na</v>
      </c>
      <c r="C66" s="128">
        <f t="shared" si="7"/>
        <v>1.0946812854725142E-3</v>
      </c>
      <c r="D66" s="154">
        <f t="shared" si="7"/>
        <v>1.1049110598152416E-3</v>
      </c>
      <c r="E66" s="154">
        <f t="shared" si="7"/>
        <v>2.0270892198248253E-4</v>
      </c>
      <c r="F66" s="151"/>
      <c r="G66" s="154">
        <f t="shared" si="8"/>
        <v>1.8061195788135212E-2</v>
      </c>
      <c r="H66" s="151"/>
      <c r="I66" s="154">
        <f t="shared" si="9"/>
        <v>0.1986624946231903</v>
      </c>
      <c r="J66" s="151"/>
      <c r="K66" s="154">
        <f t="shared" si="10"/>
        <v>-4.3136204321973674E-2</v>
      </c>
      <c r="L66" s="151"/>
      <c r="M66" s="154">
        <f t="shared" si="11"/>
        <v>-6.0005425198972825E-3</v>
      </c>
      <c r="N66" s="151"/>
      <c r="O66" s="154">
        <f t="shared" si="12"/>
        <v>1.7767698352732529E-2</v>
      </c>
      <c r="P66" s="151"/>
      <c r="Q66" s="154">
        <f t="shared" si="13"/>
        <v>3.534923862870706E-3</v>
      </c>
      <c r="R66" s="151"/>
      <c r="S66" s="154">
        <f t="shared" si="14"/>
        <v>1.6200487980725754E-2</v>
      </c>
      <c r="T66" s="151"/>
      <c r="U66" s="154">
        <f t="shared" si="15"/>
        <v>1.6200487980725754E-2</v>
      </c>
      <c r="V66" s="151"/>
      <c r="W66" s="154">
        <f t="shared" si="16"/>
        <v>1.6200487980725754E-2</v>
      </c>
      <c r="X66" s="151"/>
      <c r="Y66" s="154">
        <f t="shared" si="17"/>
        <v>1.6200487980725754E-2</v>
      </c>
    </row>
    <row r="67" spans="1:25">
      <c r="A67" t="str">
        <f t="shared" si="6"/>
        <v>SO4</v>
      </c>
      <c r="C67" s="128">
        <f t="shared" si="7"/>
        <v>-1.9302256798943842E-2</v>
      </c>
      <c r="D67" s="154">
        <f t="shared" si="7"/>
        <v>-3.4957818740808384E-3</v>
      </c>
      <c r="E67" s="154">
        <f t="shared" si="7"/>
        <v>-2.5586452169383643E-5</v>
      </c>
      <c r="F67" s="151"/>
      <c r="G67" s="154">
        <f t="shared" si="8"/>
        <v>-1.8704836507303603E-4</v>
      </c>
      <c r="H67" s="151"/>
      <c r="I67" s="154">
        <f t="shared" si="9"/>
        <v>0.13826648164680319</v>
      </c>
      <c r="J67" s="151"/>
      <c r="K67" s="154">
        <f t="shared" si="10"/>
        <v>-5.3414500466500897E-2</v>
      </c>
      <c r="L67" s="151"/>
      <c r="M67" s="154">
        <f t="shared" si="11"/>
        <v>-2.1765745162949303E-2</v>
      </c>
      <c r="N67" s="151"/>
      <c r="O67" s="154">
        <f t="shared" si="12"/>
        <v>1.5637329286702761E-2</v>
      </c>
      <c r="P67" s="151"/>
      <c r="Q67" s="154">
        <f t="shared" si="13"/>
        <v>9.7556829028110613E-4</v>
      </c>
      <c r="R67" s="151"/>
      <c r="S67" s="154">
        <f t="shared" si="14"/>
        <v>-7.4084905474310347E-3</v>
      </c>
      <c r="T67" s="151"/>
      <c r="U67" s="154">
        <f t="shared" si="15"/>
        <v>-7.4084905474310347E-3</v>
      </c>
      <c r="V67" s="151"/>
      <c r="W67" s="154">
        <f t="shared" si="16"/>
        <v>-7.4084905474310347E-3</v>
      </c>
      <c r="X67" s="151"/>
      <c r="Y67" s="154">
        <f t="shared" si="17"/>
        <v>-7.4084905474310347E-3</v>
      </c>
    </row>
    <row r="68" spans="1:25">
      <c r="A68" t="str">
        <f t="shared" si="6"/>
        <v>Mg</v>
      </c>
      <c r="C68" s="128">
        <f t="shared" si="7"/>
        <v>8.8972060803047381E-3</v>
      </c>
      <c r="D68" s="154">
        <f t="shared" si="7"/>
        <v>7.2465792271251245E-2</v>
      </c>
      <c r="E68" s="154">
        <f t="shared" si="7"/>
        <v>2.6244738340472232E-5</v>
      </c>
      <c r="F68" s="151"/>
      <c r="G68" s="154">
        <f t="shared" si="8"/>
        <v>2.4458992627632736E-2</v>
      </c>
      <c r="H68" s="151"/>
      <c r="I68" s="154">
        <f t="shared" si="9"/>
        <v>-0.17849148983397173</v>
      </c>
      <c r="J68" s="151"/>
      <c r="K68" s="154">
        <f t="shared" si="10"/>
        <v>-5.5718464006806127E-2</v>
      </c>
      <c r="L68" s="151"/>
      <c r="M68" s="154">
        <f t="shared" si="11"/>
        <v>-6.1745854027360264E-4</v>
      </c>
      <c r="N68" s="151"/>
      <c r="O68" s="154">
        <f t="shared" si="12"/>
        <v>8.0361903522507359E-3</v>
      </c>
      <c r="P68" s="151"/>
      <c r="Q68" s="154">
        <f t="shared" si="13"/>
        <v>-1.6341357708343832E-2</v>
      </c>
      <c r="R68" s="151"/>
      <c r="S68" s="154">
        <f t="shared" si="14"/>
        <v>1.6067005662711811E-2</v>
      </c>
      <c r="T68" s="151"/>
      <c r="U68" s="154">
        <f t="shared" si="15"/>
        <v>1.6067005662711811E-2</v>
      </c>
      <c r="V68" s="151"/>
      <c r="W68" s="154">
        <f t="shared" si="16"/>
        <v>1.6067005662711811E-2</v>
      </c>
      <c r="X68" s="151"/>
      <c r="Y68" s="154">
        <f t="shared" si="17"/>
        <v>1.6067005662711811E-2</v>
      </c>
    </row>
    <row r="69" spans="1:25">
      <c r="A69" t="str">
        <f t="shared" si="6"/>
        <v>Ca</v>
      </c>
      <c r="C69" s="128">
        <f t="shared" si="7"/>
        <v>7.4946293218758994E-2</v>
      </c>
      <c r="D69" s="167">
        <f t="shared" si="7"/>
        <v>7.0139984172269507E-2</v>
      </c>
      <c r="E69" s="154">
        <f t="shared" si="7"/>
        <v>7.0139984172269507E-2</v>
      </c>
      <c r="F69" s="151"/>
      <c r="G69" s="154">
        <f t="shared" si="8"/>
        <v>9.4009277499531946E-2</v>
      </c>
      <c r="H69" s="151"/>
      <c r="I69" s="154">
        <f t="shared" si="9"/>
        <v>-0.12479257800037447</v>
      </c>
      <c r="J69" s="151"/>
      <c r="K69" s="154">
        <f t="shared" si="10"/>
        <v>-3.1967548394353507E-2</v>
      </c>
      <c r="L69" s="151"/>
      <c r="M69" s="154">
        <f t="shared" si="11"/>
        <v>-0.23750868537911429</v>
      </c>
      <c r="N69" s="151"/>
      <c r="O69" s="154">
        <f t="shared" si="12"/>
        <v>2.1075325666229723E-2</v>
      </c>
      <c r="P69" s="151"/>
      <c r="Q69" s="154">
        <f t="shared" si="13"/>
        <v>-0.24413904463668712</v>
      </c>
      <c r="R69" s="151"/>
      <c r="S69" s="154">
        <f t="shared" si="14"/>
        <v>-8.5036733404371748E-2</v>
      </c>
      <c r="T69" s="151"/>
      <c r="U69" s="154">
        <f t="shared" si="15"/>
        <v>-8.5036733404371748E-2</v>
      </c>
      <c r="V69" s="151"/>
      <c r="W69" s="154">
        <f t="shared" si="16"/>
        <v>-8.5036733404371748E-2</v>
      </c>
      <c r="X69" s="151"/>
      <c r="Y69" s="154">
        <f t="shared" si="17"/>
        <v>-8.5036733404371748E-2</v>
      </c>
    </row>
    <row r="70" spans="1:25">
      <c r="A70" t="str">
        <f t="shared" si="6"/>
        <v>K</v>
      </c>
      <c r="C70" s="128">
        <f t="shared" si="7"/>
        <v>7.6687004493807304E-2</v>
      </c>
      <c r="D70" s="154">
        <f t="shared" si="7"/>
        <v>7.357901780088455E-2</v>
      </c>
      <c r="E70" s="154">
        <f t="shared" si="7"/>
        <v>-1.1260892665075627E-4</v>
      </c>
      <c r="F70" s="151"/>
      <c r="G70" s="154">
        <f t="shared" si="8"/>
        <v>-3.052578161211416E-2</v>
      </c>
      <c r="H70" s="151"/>
      <c r="I70" s="167">
        <f t="shared" si="9"/>
        <v>0.10682017475031701</v>
      </c>
      <c r="J70" s="151"/>
      <c r="K70" s="154">
        <f t="shared" si="10"/>
        <v>-3.877734771203034E-3</v>
      </c>
      <c r="L70" s="151"/>
      <c r="M70" s="154">
        <f t="shared" si="11"/>
        <v>-5.4197379339795904E-2</v>
      </c>
      <c r="N70" s="151"/>
      <c r="O70" s="154">
        <f t="shared" si="12"/>
        <v>2.7489903633194968E-2</v>
      </c>
      <c r="P70" s="151"/>
      <c r="Q70" s="167">
        <f t="shared" si="13"/>
        <v>2.8513982567488369E-2</v>
      </c>
      <c r="R70" s="151"/>
      <c r="S70" s="154">
        <f t="shared" si="14"/>
        <v>-0.19539066281380088</v>
      </c>
      <c r="T70" s="151"/>
      <c r="U70" s="154">
        <f t="shared" si="15"/>
        <v>-0.19539066281380088</v>
      </c>
      <c r="V70" s="151"/>
      <c r="W70" s="154">
        <f t="shared" si="16"/>
        <v>-0.19539066281380088</v>
      </c>
      <c r="X70" s="151"/>
      <c r="Y70" s="154">
        <f t="shared" si="17"/>
        <v>-0.19539066281380088</v>
      </c>
    </row>
    <row r="71" spans="1:25">
      <c r="A71" t="str">
        <f t="shared" si="6"/>
        <v xml:space="preserve">HCO3 </v>
      </c>
      <c r="C71" s="128">
        <f t="shared" si="7"/>
        <v>8.5373597528285813E-2</v>
      </c>
      <c r="D71" s="154">
        <f t="shared" si="7"/>
        <v>0.11034015773384112</v>
      </c>
      <c r="E71" s="154">
        <f t="shared" si="7"/>
        <v>-6.9385803954290367E-4</v>
      </c>
      <c r="F71" s="151"/>
      <c r="G71" s="154">
        <f t="shared" si="8"/>
        <v>0.16585716562053324</v>
      </c>
      <c r="H71" s="151"/>
      <c r="I71" s="167">
        <f t="shared" si="9"/>
        <v>0.33240818928060961</v>
      </c>
      <c r="J71" s="151"/>
      <c r="K71" s="154">
        <f t="shared" si="10"/>
        <v>-6.9385803954290367E-4</v>
      </c>
      <c r="L71" s="151"/>
      <c r="M71" s="154">
        <f t="shared" si="11"/>
        <v>0.11034015773384112</v>
      </c>
      <c r="N71" s="151"/>
      <c r="O71" s="154">
        <f t="shared" si="12"/>
        <v>-5.4640044609021138E-2</v>
      </c>
      <c r="P71" s="151"/>
      <c r="Q71" s="167">
        <f t="shared" si="13"/>
        <v>-4.5107464348896557E-2</v>
      </c>
      <c r="R71" s="151"/>
      <c r="S71" s="154">
        <f t="shared" si="14"/>
        <v>0.16578373042491584</v>
      </c>
      <c r="T71" s="151"/>
      <c r="U71" s="154">
        <f t="shared" si="15"/>
        <v>0.16578373042491584</v>
      </c>
      <c r="V71" s="151"/>
      <c r="W71" s="154">
        <f t="shared" si="16"/>
        <v>0.16578373042491584</v>
      </c>
      <c r="X71" s="151"/>
      <c r="Y71" s="154">
        <f t="shared" si="17"/>
        <v>0.16578373042491584</v>
      </c>
    </row>
    <row r="72" spans="1:25">
      <c r="A72" t="str">
        <f t="shared" si="6"/>
        <v>Br</v>
      </c>
      <c r="C72" s="128">
        <f t="shared" si="7"/>
        <v>-4.5996592844974489E-2</v>
      </c>
      <c r="D72" s="167">
        <f t="shared" si="7"/>
        <v>-1.9165597737602864E-2</v>
      </c>
      <c r="E72" s="154">
        <f t="shared" si="7"/>
        <v>8.5143087999716175E-4</v>
      </c>
      <c r="F72" s="151"/>
      <c r="G72" s="154">
        <f t="shared" si="8"/>
        <v>8.5143087999716175E-4</v>
      </c>
      <c r="H72" s="151"/>
      <c r="I72" s="154">
        <f t="shared" si="9"/>
        <v>0.20102171705599658</v>
      </c>
      <c r="J72" s="151"/>
      <c r="K72" s="154">
        <f t="shared" si="10"/>
        <v>8.5143087999716175E-4</v>
      </c>
      <c r="L72" s="151"/>
      <c r="M72" s="154">
        <f t="shared" si="11"/>
        <v>-1</v>
      </c>
      <c r="N72" s="151"/>
      <c r="O72" s="154">
        <f t="shared" si="12"/>
        <v>2.086845949759698E-2</v>
      </c>
      <c r="P72" s="151"/>
      <c r="Q72" s="154">
        <f t="shared" si="13"/>
        <v>8.5143087999716175E-4</v>
      </c>
      <c r="R72" s="151"/>
      <c r="S72" s="154">
        <f t="shared" si="14"/>
        <v>-1</v>
      </c>
      <c r="T72" s="151"/>
      <c r="U72" s="154">
        <f t="shared" si="15"/>
        <v>-1</v>
      </c>
      <c r="V72" s="151"/>
      <c r="W72" s="154">
        <f t="shared" si="16"/>
        <v>-1</v>
      </c>
      <c r="X72" s="151"/>
      <c r="Y72" s="154">
        <f t="shared" si="17"/>
        <v>-1</v>
      </c>
    </row>
    <row r="73" spans="1:25">
      <c r="A73" t="str">
        <f t="shared" si="6"/>
        <v>Н3ВО3</v>
      </c>
      <c r="C73" s="128">
        <f t="shared" si="7"/>
        <v>2.6872445023171108</v>
      </c>
      <c r="D73" s="154">
        <f t="shared" si="7"/>
        <v>-0.395533688144736</v>
      </c>
      <c r="E73" s="154">
        <f t="shared" si="7"/>
        <v>7.4438530921067643E-3</v>
      </c>
      <c r="F73" s="151"/>
      <c r="G73" s="154">
        <f t="shared" si="8"/>
        <v>8.8039361339475375E-2</v>
      </c>
      <c r="H73" s="151"/>
      <c r="I73" s="154">
        <f t="shared" si="9"/>
        <v>-0.8791067376289472</v>
      </c>
      <c r="J73" s="151"/>
      <c r="K73" s="154">
        <f t="shared" si="10"/>
        <v>0.20893262371052801</v>
      </c>
      <c r="L73" s="151"/>
      <c r="M73" s="154">
        <f t="shared" si="11"/>
        <v>7.4438530921067643E-3</v>
      </c>
      <c r="N73" s="151"/>
      <c r="O73" s="154">
        <f t="shared" si="12"/>
        <v>4.7741607215791071E-2</v>
      </c>
      <c r="P73" s="151"/>
      <c r="Q73" s="154">
        <f t="shared" si="13"/>
        <v>2.3562954741580374E-2</v>
      </c>
      <c r="R73" s="151"/>
      <c r="S73" s="154">
        <f t="shared" si="14"/>
        <v>-1</v>
      </c>
      <c r="T73" s="151"/>
      <c r="U73" s="154">
        <f t="shared" si="15"/>
        <v>-1</v>
      </c>
      <c r="V73" s="151"/>
      <c r="W73" s="154">
        <f t="shared" si="16"/>
        <v>-1</v>
      </c>
      <c r="X73" s="151"/>
      <c r="Y73" s="154">
        <f t="shared" si="17"/>
        <v>-1</v>
      </c>
    </row>
    <row r="74" spans="1:25">
      <c r="A74" t="str">
        <f t="shared" si="6"/>
        <v>Sr</v>
      </c>
      <c r="C74" s="128">
        <f t="shared" si="7"/>
        <v>0.18369526521893889</v>
      </c>
      <c r="D74" s="167">
        <f t="shared" si="7"/>
        <v>2.2759628667178808</v>
      </c>
      <c r="E74" s="154">
        <f t="shared" si="7"/>
        <v>0.63798143335894053</v>
      </c>
      <c r="F74" s="151"/>
      <c r="G74" s="154">
        <f t="shared" si="8"/>
        <v>-2.5401047151430232E-2</v>
      </c>
      <c r="H74" s="151"/>
      <c r="I74" s="154">
        <f t="shared" si="9"/>
        <v>-0.40838819216549127</v>
      </c>
      <c r="J74" s="151"/>
      <c r="K74" s="154">
        <f t="shared" si="10"/>
        <v>-1</v>
      </c>
      <c r="L74" s="151"/>
      <c r="M74" s="154">
        <f t="shared" si="11"/>
        <v>-1.7211139984635578E-2</v>
      </c>
      <c r="N74" s="151"/>
      <c r="O74" s="154">
        <f t="shared" si="12"/>
        <v>2.3738395849337905E-2</v>
      </c>
      <c r="P74" s="151"/>
      <c r="Q74" s="154">
        <f t="shared" si="13"/>
        <v>-0.41442163757417871</v>
      </c>
      <c r="R74" s="151"/>
      <c r="S74" s="154">
        <f t="shared" si="14"/>
        <v>-1</v>
      </c>
      <c r="T74" s="151"/>
      <c r="U74" s="154">
        <f t="shared" si="15"/>
        <v>-1</v>
      </c>
      <c r="V74" s="151"/>
      <c r="W74" s="154">
        <f t="shared" si="16"/>
        <v>-1</v>
      </c>
      <c r="X74" s="151"/>
      <c r="Y74" s="154">
        <f t="shared" si="17"/>
        <v>-1</v>
      </c>
    </row>
    <row r="75" spans="1:25">
      <c r="A75" t="str">
        <f t="shared" si="6"/>
        <v>F</v>
      </c>
      <c r="C75" s="128">
        <f t="shared" si="7"/>
        <v>6.3834196891191706</v>
      </c>
      <c r="D75" s="167">
        <f t="shared" si="7"/>
        <v>0.1384685732840607</v>
      </c>
      <c r="E75" s="154">
        <f t="shared" si="7"/>
        <v>0.1384685732840607</v>
      </c>
      <c r="F75" s="151"/>
      <c r="G75" s="154">
        <f t="shared" si="8"/>
        <v>1.6557259841397522E-2</v>
      </c>
      <c r="H75" s="151"/>
      <c r="I75" s="167">
        <f t="shared" si="9"/>
        <v>-1</v>
      </c>
      <c r="J75" s="151"/>
      <c r="K75" s="167">
        <f t="shared" si="10"/>
        <v>-1</v>
      </c>
      <c r="L75" s="151"/>
      <c r="M75" s="154">
        <f t="shared" si="11"/>
        <v>1.6557259841397522E-2</v>
      </c>
      <c r="N75" s="151"/>
      <c r="O75" s="154">
        <f t="shared" si="12"/>
        <v>1.6557259841397522E-2</v>
      </c>
      <c r="P75" s="151"/>
      <c r="Q75" s="167">
        <f t="shared" si="13"/>
        <v>1.9815757266913391E-2</v>
      </c>
      <c r="R75" s="151"/>
      <c r="S75" s="154">
        <f t="shared" si="14"/>
        <v>-1</v>
      </c>
      <c r="T75" s="151"/>
      <c r="U75" s="167">
        <f t="shared" si="15"/>
        <v>-1</v>
      </c>
      <c r="V75" s="167"/>
      <c r="W75" s="167">
        <f t="shared" si="16"/>
        <v>-1</v>
      </c>
      <c r="X75" s="151"/>
      <c r="Y75" s="154">
        <f t="shared" si="17"/>
        <v>-1</v>
      </c>
    </row>
    <row r="76" spans="1:25">
      <c r="A76" t="str">
        <f t="shared" si="6"/>
        <v>I</v>
      </c>
      <c r="C76" s="128">
        <f t="shared" si="7"/>
        <v>-5.2631578947368383E-2</v>
      </c>
      <c r="D76" s="154">
        <f t="shared" si="7"/>
        <v>-5.2631578947368488E-2</v>
      </c>
      <c r="E76" s="154" t="e">
        <f t="shared" si="7"/>
        <v>#N/A</v>
      </c>
      <c r="F76" s="151"/>
      <c r="G76" s="154">
        <f t="shared" si="8"/>
        <v>-0.15732985788158868</v>
      </c>
      <c r="H76" s="151"/>
      <c r="I76" s="154">
        <f t="shared" si="9"/>
        <v>-1</v>
      </c>
      <c r="J76" s="151"/>
      <c r="K76" s="154">
        <f t="shared" si="10"/>
        <v>-1</v>
      </c>
      <c r="L76" s="151"/>
      <c r="M76" s="154">
        <f t="shared" si="11"/>
        <v>-6.3699842090654185E-2</v>
      </c>
      <c r="N76" s="151"/>
      <c r="O76" s="154">
        <f t="shared" si="12"/>
        <v>-6.3699842090654185E-2</v>
      </c>
      <c r="P76" s="151"/>
      <c r="Q76" s="154">
        <f t="shared" si="13"/>
        <v>-1</v>
      </c>
      <c r="R76" s="151"/>
      <c r="S76" s="154">
        <f t="shared" si="14"/>
        <v>-1</v>
      </c>
      <c r="T76" s="151"/>
      <c r="U76" s="154">
        <f t="shared" si="15"/>
        <v>-1</v>
      </c>
      <c r="V76" s="151"/>
      <c r="W76" s="154">
        <f t="shared" si="16"/>
        <v>-1</v>
      </c>
      <c r="X76" s="151"/>
      <c r="Y76" s="154">
        <f t="shared" si="17"/>
        <v>-1</v>
      </c>
    </row>
    <row r="77" spans="1:25">
      <c r="C77" s="128"/>
      <c r="D77" s="150"/>
      <c r="E77" s="150"/>
      <c r="F77" s="57"/>
      <c r="G77" s="150"/>
      <c r="H77" s="57"/>
      <c r="I77" s="150"/>
      <c r="J77" s="57"/>
      <c r="K77" s="150"/>
      <c r="L77" s="57"/>
      <c r="M77" s="150"/>
      <c r="N77" s="57"/>
      <c r="O77" s="150"/>
      <c r="P77" s="57"/>
      <c r="Q77" s="150"/>
      <c r="R77" s="57"/>
      <c r="S77" s="150"/>
      <c r="T77" s="57"/>
      <c r="U77" s="150"/>
      <c r="V77" s="57"/>
      <c r="W77" s="150"/>
      <c r="X77" s="57"/>
      <c r="Y77" s="150"/>
    </row>
    <row r="79" spans="1:25">
      <c r="B79" s="143" t="s">
        <v>416</v>
      </c>
      <c r="C79" s="161" t="s">
        <v>417</v>
      </c>
      <c r="D79" s="161" t="s">
        <v>418</v>
      </c>
      <c r="E79" s="161" t="s">
        <v>419</v>
      </c>
      <c r="F79" s="156"/>
      <c r="G79" s="161" t="s">
        <v>420</v>
      </c>
      <c r="H79" s="156"/>
      <c r="I79" s="161" t="s">
        <v>421</v>
      </c>
      <c r="J79" s="156"/>
      <c r="K79" s="161" t="s">
        <v>422</v>
      </c>
      <c r="L79" s="156"/>
      <c r="M79" s="161" t="s">
        <v>424</v>
      </c>
      <c r="N79" s="156"/>
      <c r="O79" s="161" t="s">
        <v>409</v>
      </c>
    </row>
    <row r="80" spans="1:25">
      <c r="A80" t="s">
        <v>412</v>
      </c>
      <c r="B80">
        <v>19.49915</v>
      </c>
      <c r="C80" s="151">
        <v>18.471013000000003</v>
      </c>
      <c r="D80" s="151">
        <v>17.620141000000004</v>
      </c>
      <c r="E80" s="151">
        <v>19.073713999999999</v>
      </c>
      <c r="F80" s="151"/>
      <c r="G80" s="151">
        <v>18.435560000000002</v>
      </c>
      <c r="H80" s="151"/>
      <c r="I80" s="151">
        <v>19.038261000000002</v>
      </c>
      <c r="J80" s="151"/>
      <c r="K80" s="151">
        <v>18.825543000000003</v>
      </c>
      <c r="L80" s="151"/>
      <c r="M80" s="151">
        <v>20.066398</v>
      </c>
      <c r="N80" s="151"/>
      <c r="O80" s="151">
        <v>18.293748000000004</v>
      </c>
    </row>
    <row r="81" spans="1:15">
      <c r="A81" t="s">
        <v>135</v>
      </c>
      <c r="B81">
        <v>10.805206</v>
      </c>
      <c r="C81" s="151">
        <v>10.6212876</v>
      </c>
      <c r="D81" s="151">
        <v>10.1614916</v>
      </c>
      <c r="E81" s="151">
        <v>10.7362366</v>
      </c>
      <c r="F81" s="151"/>
      <c r="G81" s="151">
        <v>10.598297800000001</v>
      </c>
      <c r="H81" s="151"/>
      <c r="I81" s="151">
        <v>10.851185599999999</v>
      </c>
      <c r="J81" s="151"/>
      <c r="K81" s="151">
        <v>10.575308</v>
      </c>
      <c r="L81" s="151"/>
      <c r="M81" s="151">
        <v>10.6672672</v>
      </c>
      <c r="N81" s="151"/>
      <c r="O81" s="151">
        <v>11.586859199999999</v>
      </c>
    </row>
    <row r="82" spans="1:15">
      <c r="A82" t="s">
        <v>413</v>
      </c>
      <c r="B82">
        <v>2.6897248</v>
      </c>
      <c r="C82" s="151">
        <v>2.2094168000000001</v>
      </c>
      <c r="D82" s="151">
        <v>2.0172935999999999</v>
      </c>
      <c r="E82" s="151">
        <v>2.6897248</v>
      </c>
      <c r="F82" s="151"/>
      <c r="G82" s="151">
        <v>2.5936631999999999</v>
      </c>
      <c r="H82" s="151"/>
      <c r="I82" s="151">
        <v>2.4015399999999998</v>
      </c>
      <c r="J82" s="151"/>
      <c r="K82" s="151">
        <v>2.3054784000000001</v>
      </c>
      <c r="L82" s="151"/>
      <c r="M82" s="151">
        <v>1.4409239999999999</v>
      </c>
      <c r="N82" s="151"/>
      <c r="O82" s="151">
        <v>3.5542791999999999</v>
      </c>
    </row>
    <row r="83" spans="1:15">
      <c r="A83" t="s">
        <v>152</v>
      </c>
      <c r="B83">
        <v>1.2885360000000001</v>
      </c>
      <c r="C83" s="151">
        <v>1.2642240000000002</v>
      </c>
      <c r="D83" s="151">
        <v>1.118352</v>
      </c>
      <c r="E83" s="151">
        <v>1.2885360000000001</v>
      </c>
      <c r="F83" s="151"/>
      <c r="G83" s="151">
        <v>1.2156000000000002</v>
      </c>
      <c r="H83" s="151"/>
      <c r="I83" s="151">
        <v>1.3371600000000001</v>
      </c>
      <c r="J83" s="151"/>
      <c r="K83" s="151">
        <v>1.3857840000000001</v>
      </c>
      <c r="L83" s="151"/>
      <c r="M83" s="151">
        <v>1.5316560000000001</v>
      </c>
      <c r="N83" s="151"/>
      <c r="O83" s="151">
        <v>0.89954400000000012</v>
      </c>
    </row>
    <row r="84" spans="1:15">
      <c r="A84" s="92" t="s">
        <v>153</v>
      </c>
      <c r="B84" s="92">
        <v>0.41282400000000002</v>
      </c>
      <c r="C84" s="160">
        <v>0.36071999999999999</v>
      </c>
      <c r="D84" s="160">
        <v>0.35671199999999997</v>
      </c>
      <c r="E84" s="160">
        <v>0.36071999999999999</v>
      </c>
      <c r="F84" s="151"/>
      <c r="G84" s="160">
        <v>0.37274400000000002</v>
      </c>
      <c r="H84" s="151"/>
      <c r="I84" s="160">
        <v>0.36071999999999999</v>
      </c>
      <c r="J84" s="151"/>
      <c r="K84" s="160">
        <v>0.41683199999999998</v>
      </c>
      <c r="L84" s="151"/>
      <c r="M84" s="160">
        <v>0.404808</v>
      </c>
      <c r="N84" s="151"/>
      <c r="O84" s="160">
        <v>0.404808</v>
      </c>
    </row>
    <row r="85" spans="1:15">
      <c r="A85" s="92" t="s">
        <v>136</v>
      </c>
      <c r="B85" s="92">
        <v>0.39884039999999993</v>
      </c>
      <c r="C85" s="160">
        <v>0.36755879999999996</v>
      </c>
      <c r="D85" s="160">
        <v>0.35582819999999998</v>
      </c>
      <c r="E85" s="160">
        <v>0.39493019999999995</v>
      </c>
      <c r="F85" s="151"/>
      <c r="G85" s="160">
        <v>0.37146899999999999</v>
      </c>
      <c r="H85" s="151"/>
      <c r="I85" s="160">
        <v>0.3871098</v>
      </c>
      <c r="J85" s="151"/>
      <c r="K85" s="160">
        <v>0.39493019999999995</v>
      </c>
      <c r="L85" s="151"/>
      <c r="M85" s="160">
        <v>0.36364859999999999</v>
      </c>
      <c r="N85" s="151"/>
      <c r="O85" s="160">
        <v>0.41839139999999991</v>
      </c>
    </row>
    <row r="86" spans="1:15">
      <c r="A86" t="s">
        <v>415</v>
      </c>
      <c r="B86">
        <v>0.11593106499999999</v>
      </c>
      <c r="C86" s="151">
        <v>0.11593106499999999</v>
      </c>
      <c r="D86" s="151">
        <v>6.7117985000000005E-2</v>
      </c>
      <c r="E86" s="151">
        <v>0.12813433499999999</v>
      </c>
      <c r="F86" s="151"/>
      <c r="G86" s="151">
        <v>4.5762262499999998E-2</v>
      </c>
      <c r="H86" s="151"/>
      <c r="I86" s="151">
        <v>6.5897657999999998E-2</v>
      </c>
      <c r="J86" s="151"/>
      <c r="K86" s="151">
        <v>0.15376120199999999</v>
      </c>
      <c r="L86" s="151"/>
      <c r="M86" s="151">
        <v>1.9525232E-2</v>
      </c>
      <c r="N86" s="151"/>
      <c r="O86" s="151">
        <v>7.3219619999999996E-3</v>
      </c>
    </row>
    <row r="87" spans="1:15">
      <c r="A87" t="s">
        <v>414</v>
      </c>
      <c r="B87">
        <v>2.4699863999999998E-2</v>
      </c>
      <c r="C87" s="151">
        <v>2.5876047999999999E-2</v>
      </c>
      <c r="D87" s="151">
        <v>2.1171311999999998E-2</v>
      </c>
      <c r="E87" s="151">
        <v>2.4111772E-2</v>
      </c>
      <c r="F87" s="151"/>
      <c r="G87" s="151">
        <v>3.822598E-2</v>
      </c>
      <c r="H87" s="151"/>
      <c r="I87" s="151">
        <v>3.1756968000000003E-2</v>
      </c>
      <c r="J87" s="151"/>
      <c r="K87" s="151">
        <v>3.1756968000000003E-2</v>
      </c>
      <c r="L87" s="151"/>
      <c r="M87" s="151">
        <v>7.4099592000000006E-2</v>
      </c>
      <c r="N87" s="151"/>
      <c r="O87" s="151">
        <v>0.28816507999999996</v>
      </c>
    </row>
    <row r="88" spans="1:15">
      <c r="A88" t="s">
        <v>155</v>
      </c>
      <c r="B88">
        <v>7.8858000000000001E-3</v>
      </c>
      <c r="C88" s="151">
        <v>1.6647800000000001E-2</v>
      </c>
      <c r="D88" s="151">
        <v>7.0096000000000004E-3</v>
      </c>
      <c r="E88" s="151">
        <v>1.3143E-2</v>
      </c>
      <c r="F88" s="151"/>
      <c r="G88" s="151">
        <v>7.0096000000000004E-3</v>
      </c>
      <c r="H88" s="151"/>
      <c r="I88" s="151">
        <v>8.7620000000000007E-3</v>
      </c>
      <c r="J88" s="151"/>
      <c r="K88" s="151">
        <v>8.7620000000000007E-3</v>
      </c>
      <c r="L88" s="151"/>
      <c r="M88" s="151">
        <v>7.0096000000000004E-3</v>
      </c>
      <c r="N88" s="151"/>
      <c r="O88" s="151">
        <v>1.8400200000000002E-2</v>
      </c>
    </row>
    <row r="89" spans="1:15"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</row>
    <row r="90" spans="1:15">
      <c r="A90" t="str">
        <f t="shared" ref="A90:A98" si="18">A80</f>
        <v>Cl-</v>
      </c>
      <c r="C90" s="154">
        <f t="shared" ref="C90:D98" si="19">(C80-$B80)/$B80</f>
        <v>-5.2727272727272595E-2</v>
      </c>
      <c r="D90" s="154">
        <f t="shared" si="19"/>
        <v>-9.6363636363636179E-2</v>
      </c>
      <c r="E90" s="154">
        <f t="shared" ref="E90:E98" si="20">(E80-$B80)/$B80</f>
        <v>-2.1818181818181882E-2</v>
      </c>
      <c r="F90" s="151"/>
      <c r="G90" s="154">
        <f t="shared" ref="G90:G98" si="21">(G80-$B80)/$B80</f>
        <v>-5.4545454545454432E-2</v>
      </c>
      <c r="H90" s="151"/>
      <c r="I90" s="154">
        <f t="shared" ref="I90:I98" si="22">(I80-$B80)/$B80</f>
        <v>-2.3636363636363539E-2</v>
      </c>
      <c r="J90" s="151"/>
      <c r="K90" s="154">
        <f t="shared" ref="K90:K98" si="23">(K80-$B80)/$B80</f>
        <v>-3.4545454545454386E-2</v>
      </c>
      <c r="L90" s="151"/>
      <c r="M90" s="154">
        <f t="shared" ref="M90:M98" si="24">(M80-$B80)/$B80</f>
        <v>2.9090909090909056E-2</v>
      </c>
      <c r="N90" s="151"/>
      <c r="O90" s="154">
        <f t="shared" ref="O90:O98" si="25">(O80-$B80)/$B80</f>
        <v>-6.1818181818181606E-2</v>
      </c>
    </row>
    <row r="91" spans="1:15">
      <c r="A91" t="str">
        <f t="shared" si="18"/>
        <v>Na</v>
      </c>
      <c r="C91" s="154">
        <f t="shared" si="19"/>
        <v>-1.7021276595744643E-2</v>
      </c>
      <c r="D91" s="154">
        <f t="shared" si="19"/>
        <v>-5.9574468085106413E-2</v>
      </c>
      <c r="E91" s="154">
        <f t="shared" si="20"/>
        <v>-6.3829787234042819E-3</v>
      </c>
      <c r="F91" s="151"/>
      <c r="G91" s="154">
        <f t="shared" si="21"/>
        <v>-1.9148936170212683E-2</v>
      </c>
      <c r="H91" s="151"/>
      <c r="I91" s="154">
        <f t="shared" si="22"/>
        <v>4.2553191489360783E-3</v>
      </c>
      <c r="J91" s="151"/>
      <c r="K91" s="154">
        <f t="shared" si="23"/>
        <v>-2.1276595744680885E-2</v>
      </c>
      <c r="L91" s="151"/>
      <c r="M91" s="154">
        <f t="shared" si="24"/>
        <v>-1.2765957446808564E-2</v>
      </c>
      <c r="N91" s="151"/>
      <c r="O91" s="154">
        <f t="shared" si="25"/>
        <v>7.2340425531914818E-2</v>
      </c>
    </row>
    <row r="92" spans="1:15">
      <c r="A92" t="str">
        <f t="shared" si="18"/>
        <v>SO4-</v>
      </c>
      <c r="C92" s="154">
        <f t="shared" si="19"/>
        <v>-0.17857142857142855</v>
      </c>
      <c r="D92" s="154">
        <f t="shared" si="19"/>
        <v>-0.25000000000000006</v>
      </c>
      <c r="E92" s="154">
        <f t="shared" si="20"/>
        <v>0</v>
      </c>
      <c r="F92" s="151"/>
      <c r="G92" s="154">
        <f t="shared" si="21"/>
        <v>-3.5714285714285747E-2</v>
      </c>
      <c r="H92" s="151"/>
      <c r="I92" s="154">
        <f t="shared" si="22"/>
        <v>-0.10714285714285723</v>
      </c>
      <c r="J92" s="151"/>
      <c r="K92" s="154">
        <f t="shared" si="23"/>
        <v>-0.14285714285714282</v>
      </c>
      <c r="L92" s="151"/>
      <c r="M92" s="154">
        <f t="shared" si="24"/>
        <v>-0.46428571428571436</v>
      </c>
      <c r="N92" s="151"/>
      <c r="O92" s="154">
        <f t="shared" si="25"/>
        <v>0.32142857142857134</v>
      </c>
    </row>
    <row r="93" spans="1:15">
      <c r="A93" t="str">
        <f t="shared" si="18"/>
        <v>Mg</v>
      </c>
      <c r="C93" s="154">
        <f t="shared" si="19"/>
        <v>-1.8867924528301799E-2</v>
      </c>
      <c r="D93" s="154">
        <f t="shared" si="19"/>
        <v>-0.13207547169811329</v>
      </c>
      <c r="E93" s="154">
        <f t="shared" si="20"/>
        <v>0</v>
      </c>
      <c r="F93" s="151"/>
      <c r="G93" s="154">
        <f t="shared" si="21"/>
        <v>-5.6603773584905571E-2</v>
      </c>
      <c r="H93" s="151"/>
      <c r="I93" s="154">
        <f t="shared" si="22"/>
        <v>3.7735849056603772E-2</v>
      </c>
      <c r="J93" s="151"/>
      <c r="K93" s="154">
        <f t="shared" si="23"/>
        <v>7.5471698113207544E-2</v>
      </c>
      <c r="L93" s="151"/>
      <c r="M93" s="154">
        <f t="shared" si="24"/>
        <v>0.18867924528301885</v>
      </c>
      <c r="N93" s="151"/>
      <c r="O93" s="154">
        <f t="shared" si="25"/>
        <v>-0.30188679245283018</v>
      </c>
    </row>
    <row r="94" spans="1:15">
      <c r="A94" t="str">
        <f t="shared" si="18"/>
        <v>Ca</v>
      </c>
      <c r="C94" s="154">
        <f t="shared" si="19"/>
        <v>-0.12621359223300979</v>
      </c>
      <c r="D94" s="154">
        <f t="shared" si="19"/>
        <v>-0.13592233009708748</v>
      </c>
      <c r="E94" s="154">
        <f t="shared" si="20"/>
        <v>-0.12621359223300979</v>
      </c>
      <c r="F94" s="151"/>
      <c r="G94" s="154">
        <f t="shared" si="21"/>
        <v>-9.7087378640776698E-2</v>
      </c>
      <c r="H94" s="151"/>
      <c r="I94" s="154">
        <f t="shared" si="22"/>
        <v>-0.12621359223300979</v>
      </c>
      <c r="J94" s="151"/>
      <c r="K94" s="154">
        <f t="shared" si="23"/>
        <v>9.7087378640775632E-3</v>
      </c>
      <c r="L94" s="151"/>
      <c r="M94" s="154">
        <f t="shared" si="24"/>
        <v>-1.9417475728155394E-2</v>
      </c>
      <c r="N94" s="151"/>
      <c r="O94" s="154">
        <f t="shared" si="25"/>
        <v>-1.9417475728155394E-2</v>
      </c>
    </row>
    <row r="95" spans="1:15">
      <c r="A95" t="str">
        <f t="shared" si="18"/>
        <v>K</v>
      </c>
      <c r="C95" s="154">
        <f t="shared" si="19"/>
        <v>-7.8431372549019537E-2</v>
      </c>
      <c r="D95" s="154">
        <f t="shared" si="19"/>
        <v>-0.10784313725490184</v>
      </c>
      <c r="E95" s="154">
        <f t="shared" si="20"/>
        <v>-9.8039215686273901E-3</v>
      </c>
      <c r="F95" s="151"/>
      <c r="G95" s="154">
        <f t="shared" si="21"/>
        <v>-6.862745098039201E-2</v>
      </c>
      <c r="H95" s="151"/>
      <c r="I95" s="154">
        <f t="shared" si="22"/>
        <v>-2.9411764705882169E-2</v>
      </c>
      <c r="J95" s="151"/>
      <c r="K95" s="154">
        <f t="shared" si="23"/>
        <v>-9.8039215686273901E-3</v>
      </c>
      <c r="L95" s="151"/>
      <c r="M95" s="154">
        <f t="shared" si="24"/>
        <v>-8.8235294117646926E-2</v>
      </c>
      <c r="N95" s="151"/>
      <c r="O95" s="154">
        <f t="shared" si="25"/>
        <v>4.9019607843137226E-2</v>
      </c>
    </row>
    <row r="96" spans="1:15">
      <c r="A96" t="str">
        <f t="shared" si="18"/>
        <v>HCO3-</v>
      </c>
      <c r="C96" s="154">
        <f t="shared" si="19"/>
        <v>0</v>
      </c>
      <c r="D96" s="154">
        <f t="shared" si="19"/>
        <v>-0.42105263157894723</v>
      </c>
      <c r="E96" s="154">
        <f t="shared" si="20"/>
        <v>0.10526315789473688</v>
      </c>
      <c r="F96" s="151"/>
      <c r="G96" s="154">
        <f t="shared" si="21"/>
        <v>-0.60526315789473684</v>
      </c>
      <c r="H96" s="151"/>
      <c r="I96" s="154">
        <f t="shared" si="22"/>
        <v>-0.43157894736842101</v>
      </c>
      <c r="J96" s="151"/>
      <c r="K96" s="154">
        <f t="shared" si="23"/>
        <v>0.32631578947368423</v>
      </c>
      <c r="L96" s="151"/>
      <c r="M96" s="154">
        <f t="shared" si="24"/>
        <v>-0.83157894736842097</v>
      </c>
      <c r="N96" s="151"/>
      <c r="O96" s="154">
        <f t="shared" si="25"/>
        <v>-0.93684210526315792</v>
      </c>
    </row>
    <row r="97" spans="1:15">
      <c r="A97" t="str">
        <f t="shared" si="18"/>
        <v>BO3</v>
      </c>
      <c r="C97" s="154">
        <f t="shared" si="19"/>
        <v>4.761904761904763E-2</v>
      </c>
      <c r="D97" s="154">
        <f t="shared" si="19"/>
        <v>-0.1428571428571429</v>
      </c>
      <c r="E97" s="154">
        <f t="shared" si="20"/>
        <v>-2.3809523809523746E-2</v>
      </c>
      <c r="F97" s="151"/>
      <c r="G97" s="154">
        <f t="shared" si="21"/>
        <v>0.54761904761904767</v>
      </c>
      <c r="H97" s="151"/>
      <c r="I97" s="154">
        <f t="shared" si="22"/>
        <v>0.28571428571428592</v>
      </c>
      <c r="J97" s="151"/>
      <c r="K97" s="154">
        <f t="shared" si="23"/>
        <v>0.28571428571428592</v>
      </c>
      <c r="L97" s="151"/>
      <c r="M97" s="154">
        <f t="shared" si="24"/>
        <v>2.0000000000000004</v>
      </c>
      <c r="N97" s="151"/>
      <c r="O97" s="154">
        <f t="shared" si="25"/>
        <v>10.666666666666664</v>
      </c>
    </row>
    <row r="98" spans="1:15">
      <c r="A98" t="str">
        <f t="shared" si="18"/>
        <v>Sr</v>
      </c>
      <c r="C98" s="162">
        <f t="shared" si="19"/>
        <v>1.1111111111111112</v>
      </c>
      <c r="D98" s="162">
        <f t="shared" si="19"/>
        <v>-0.11111111111111108</v>
      </c>
      <c r="E98" s="162">
        <f t="shared" si="20"/>
        <v>0.66666666666666663</v>
      </c>
      <c r="F98" s="163"/>
      <c r="G98" s="162">
        <f t="shared" si="21"/>
        <v>-0.11111111111111108</v>
      </c>
      <c r="H98" s="163"/>
      <c r="I98" s="162">
        <f t="shared" si="22"/>
        <v>0.11111111111111119</v>
      </c>
      <c r="J98" s="163"/>
      <c r="K98" s="162">
        <f t="shared" si="23"/>
        <v>0.11111111111111119</v>
      </c>
      <c r="L98" s="163"/>
      <c r="M98" s="162">
        <f t="shared" si="24"/>
        <v>-0.11111111111111108</v>
      </c>
      <c r="N98" s="163"/>
      <c r="O98" s="162">
        <f t="shared" si="25"/>
        <v>1.3333333333333335</v>
      </c>
    </row>
  </sheetData>
  <mergeCells count="4">
    <mergeCell ref="C24:Y24"/>
    <mergeCell ref="C20:Y20"/>
    <mergeCell ref="AF5:AG5"/>
    <mergeCell ref="AF11:AG11"/>
  </mergeCells>
  <phoneticPr fontId="76" type="noConversion"/>
  <conditionalFormatting sqref="Y65:Y77 W65:W77 U65:U77 S65:S77 Q65:Q77 O90:O98 M90:M98 K90:K98 I90:I98 O65:O77 M65:M77 K65:K77 I65:I77 G90:G98 G65:G77 C65:E77 C90:E98">
    <cfRule type="cellIs" dxfId="1" priority="3" stopIfTrue="1" operator="lessThan">
      <formula>-0.05</formula>
    </cfRule>
    <cfRule type="cellIs" dxfId="0" priority="4" stopIfTrue="1" operator="greaterThan">
      <formula>0.05</formula>
    </cfRule>
  </conditionalFormatting>
  <dataValidations count="3">
    <dataValidation type="list" allowBlank="1" showInputMessage="1" showErrorMessage="1" sqref="C9">
      <formula1>Na2SO4</formula1>
    </dataValidation>
    <dataValidation type="list" allowBlank="1" showInputMessage="1" showErrorMessage="1" sqref="C7">
      <formula1>MgSO4</formula1>
    </dataValidation>
    <dataValidation type="list" allowBlank="1" showInputMessage="1" showErrorMessage="1" sqref="C8">
      <formula1>MgCl2</formula1>
    </dataValidation>
  </dataValidations>
  <hyperlinks>
    <hyperlink ref="I5" r:id="rId1" display="Indian"/>
    <hyperlink ref="K5" r:id="rId2"/>
    <hyperlink ref="M5" r:id="rId3"/>
    <hyperlink ref="O5" r:id="rId4"/>
    <hyperlink ref="B79" r:id="rId5"/>
    <hyperlink ref="U5" r:id="rId6" location="X" display="http://www.escholarship.org/editions/view?docId=kt167nb66r&amp;chunk.id=d2_1_ch06&amp;toc.id=ch06&amp;toc.depth=1&amp;brand=eschol&amp;anchor.id=bib060_ch06 - X"/>
    <hyperlink ref="W5" r:id="rId7" location="X" display="http://www.escholarship.org/editions/view?docId=kt167nb66r&amp;chunk.id=d2_1_ch06&amp;toc.id=ch06&amp;toc.depth=1&amp;brand=eschol&amp;anchor.id=bib085_ch06 - X"/>
    <hyperlink ref="Y5" r:id="rId8" location="X" display="http://www.escholarship.org/editions/view?docId=kt167nb66r&amp;chunk.id=d2_1_ch06&amp;toc.id=ch06&amp;toc.depth=1&amp;brand=eschol&amp;anchor.id=bib059_ch06 - X"/>
    <hyperlink ref="Q5" r:id="rId9" display="http://archive.reefcentral.com/forums/showthread.php?s=11699192ce67ab2132e814d8be994b75&amp;threadid=1107687&amp;highlight=reef+and+salt+and+recipe+and+diy"/>
  </hyperlinks>
  <pageMargins left="0.7" right="0.7" top="0.75" bottom="0.75" header="0.3" footer="0.3"/>
  <pageSetup paperSize="9" orientation="portrait" r:id="rId10"/>
  <legacy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workbookViewId="0">
      <selection activeCell="P18" sqref="P18"/>
    </sheetView>
  </sheetViews>
  <sheetFormatPr defaultRowHeight="15"/>
  <cols>
    <col min="1" max="2" width="4.140625" customWidth="1"/>
    <col min="3" max="3" width="6.42578125" customWidth="1"/>
    <col min="4" max="4" width="14.42578125" customWidth="1"/>
    <col min="6" max="6" width="5.140625" style="92" customWidth="1"/>
    <col min="7" max="7" width="8.85546875" style="37" customWidth="1"/>
    <col min="8" max="8" width="9" style="37" bestFit="1" customWidth="1"/>
    <col min="9" max="9" width="5.140625" style="37" customWidth="1"/>
    <col min="10" max="10" width="8.85546875" style="37" customWidth="1"/>
    <col min="11" max="11" width="10" style="37" bestFit="1" customWidth="1"/>
    <col min="12" max="12" width="5.140625" style="37" customWidth="1"/>
    <col min="13" max="16" width="8.85546875" style="37" customWidth="1"/>
    <col min="17" max="17" width="12.7109375" customWidth="1"/>
  </cols>
  <sheetData>
    <row r="1" spans="1:18" ht="18">
      <c r="D1" s="87" t="s">
        <v>128</v>
      </c>
      <c r="E1" s="87" t="s">
        <v>129</v>
      </c>
      <c r="F1" s="105"/>
      <c r="G1" s="88" t="s">
        <v>130</v>
      </c>
      <c r="H1" s="88" t="s">
        <v>131</v>
      </c>
      <c r="I1" s="88"/>
      <c r="J1" s="88" t="s">
        <v>130</v>
      </c>
      <c r="K1" s="88" t="s">
        <v>131</v>
      </c>
      <c r="L1" s="88"/>
      <c r="M1" s="88" t="s">
        <v>130</v>
      </c>
      <c r="N1" s="88" t="s">
        <v>131</v>
      </c>
      <c r="O1" s="88" t="s">
        <v>457</v>
      </c>
      <c r="Q1" s="166" t="s">
        <v>445</v>
      </c>
      <c r="R1" s="128">
        <f>1-N4</f>
        <v>0.48839562554723259</v>
      </c>
    </row>
    <row r="2" spans="1:18">
      <c r="O2" s="37" t="s">
        <v>456</v>
      </c>
      <c r="Q2" s="166" t="s">
        <v>450</v>
      </c>
      <c r="R2">
        <v>1</v>
      </c>
    </row>
    <row r="3" spans="1:18" ht="18">
      <c r="A3">
        <v>1</v>
      </c>
      <c r="B3" t="s">
        <v>135</v>
      </c>
      <c r="C3" t="s">
        <v>143</v>
      </c>
      <c r="D3" s="100" t="str">
        <f>VLOOKUP(A3,Рецепты!B6:D23,2)</f>
        <v>NaCl</v>
      </c>
      <c r="E3" s="101">
        <f>'Таблица Менделеева'!D7+'Таблица Менделеева'!V7</f>
        <v>58.442800000000005</v>
      </c>
      <c r="F3" s="106"/>
      <c r="G3" s="86" t="s">
        <v>135</v>
      </c>
      <c r="H3" s="85">
        <f>'Таблица Менделеева'!D7/E3</f>
        <v>0.39337266523848957</v>
      </c>
      <c r="I3" s="85"/>
      <c r="J3" s="86" t="s">
        <v>143</v>
      </c>
      <c r="K3" s="85">
        <f>'Таблица Менделеева'!V7/E3</f>
        <v>0.60662733476151043</v>
      </c>
      <c r="L3" s="85"/>
      <c r="M3" s="86"/>
      <c r="N3" s="85"/>
      <c r="O3" s="179">
        <v>359</v>
      </c>
      <c r="P3" s="85"/>
      <c r="Q3" s="166" t="s">
        <v>444</v>
      </c>
      <c r="R3" s="128">
        <f>1-N5</f>
        <v>0.4683657126667008</v>
      </c>
    </row>
    <row r="4" spans="1:18" ht="18">
      <c r="A4">
        <v>2</v>
      </c>
      <c r="B4" t="s">
        <v>152</v>
      </c>
      <c r="C4" t="s">
        <v>447</v>
      </c>
      <c r="D4" s="100" t="str">
        <f>VLOOKUP(A4,Рецепты!B7:D24,2)</f>
        <v>MgSO4*7H2O</v>
      </c>
      <c r="E4" s="102">
        <f>'Таблица Менделеева'!G7+E33+7*E32</f>
        <v>246.4674</v>
      </c>
      <c r="G4" s="86" t="s">
        <v>152</v>
      </c>
      <c r="H4" s="85">
        <f>'Таблица Менделеева'!G7/E4</f>
        <v>9.8641848780000929E-2</v>
      </c>
      <c r="I4" s="85"/>
      <c r="J4" s="86" t="s">
        <v>306</v>
      </c>
      <c r="K4" s="85">
        <f>E33/E4</f>
        <v>0.38975377676723166</v>
      </c>
      <c r="L4" s="85"/>
      <c r="M4" s="86" t="s">
        <v>308</v>
      </c>
      <c r="N4" s="85">
        <f>7*E32/E4</f>
        <v>0.51160437445276741</v>
      </c>
      <c r="O4" s="179">
        <f>337/N4</f>
        <v>658.71211590101973</v>
      </c>
      <c r="P4" s="85"/>
      <c r="Q4" s="166" t="s">
        <v>311</v>
      </c>
      <c r="R4">
        <v>1</v>
      </c>
    </row>
    <row r="5" spans="1:18" ht="18">
      <c r="A5">
        <v>3</v>
      </c>
      <c r="B5" t="s">
        <v>152</v>
      </c>
      <c r="C5" t="s">
        <v>143</v>
      </c>
      <c r="D5" s="100" t="str">
        <f>VLOOKUP(A5,Рецепты!B8:D25,2)</f>
        <v xml:space="preserve">MgCI2 * 6Н20 </v>
      </c>
      <c r="E5" s="102">
        <f>'Таблица Менделеева'!G7+2*'Таблица Менделеева'!V7+6*Реактивы!E32</f>
        <v>203.29840000000002</v>
      </c>
      <c r="G5" s="86" t="s">
        <v>152</v>
      </c>
      <c r="H5" s="85">
        <f>'Таблица Менделеева'!G7/E5</f>
        <v>0.11958775868378699</v>
      </c>
      <c r="I5" s="85"/>
      <c r="J5" s="86" t="s">
        <v>143</v>
      </c>
      <c r="K5" s="85">
        <f>2*'Таблица Менделеева'!V7/E5</f>
        <v>0.34877795398291378</v>
      </c>
      <c r="L5" s="85"/>
      <c r="M5" s="86" t="s">
        <v>308</v>
      </c>
      <c r="N5" s="85">
        <f>6*E32/E5</f>
        <v>0.5316342873332992</v>
      </c>
      <c r="O5" s="179">
        <f>353/N5</f>
        <v>663.9902813090996</v>
      </c>
      <c r="P5" s="85"/>
      <c r="Q5" s="166" t="s">
        <v>446</v>
      </c>
      <c r="R5" s="128">
        <f>1-N6</f>
        <v>0.44088185558664972</v>
      </c>
    </row>
    <row r="6" spans="1:18" ht="16.149999999999999" customHeight="1">
      <c r="A6">
        <v>4</v>
      </c>
      <c r="B6" t="s">
        <v>135</v>
      </c>
      <c r="C6" t="s">
        <v>447</v>
      </c>
      <c r="D6" s="100" t="str">
        <f>VLOOKUP(A6,Рецепты!B9:D26,2)</f>
        <v>Na2SO4 * 10H2O</v>
      </c>
      <c r="E6" s="102">
        <f>2*'Таблица Менделеева'!D7+E33+10*E32</f>
        <v>322.17520000000002</v>
      </c>
      <c r="G6" s="86" t="s">
        <v>135</v>
      </c>
      <c r="H6" s="85">
        <f>2*'Таблица Менделеева'!D7/E6</f>
        <v>0.14271613705834588</v>
      </c>
      <c r="J6" s="86" t="s">
        <v>306</v>
      </c>
      <c r="K6" s="85">
        <f>E33/E6</f>
        <v>0.29816571852830381</v>
      </c>
      <c r="M6" s="86" t="s">
        <v>308</v>
      </c>
      <c r="N6" s="85">
        <f>10*E32/E6</f>
        <v>0.55911814441335028</v>
      </c>
      <c r="O6" s="179">
        <f>163/N6</f>
        <v>291.53051395072555</v>
      </c>
      <c r="Q6" s="166" t="s">
        <v>435</v>
      </c>
      <c r="R6">
        <v>1</v>
      </c>
    </row>
    <row r="7" spans="1:18">
      <c r="A7">
        <v>5</v>
      </c>
      <c r="B7" t="s">
        <v>136</v>
      </c>
      <c r="C7" t="s">
        <v>143</v>
      </c>
      <c r="D7" s="100" t="str">
        <f>VLOOKUP(A7,Рецепты!B10:D27,2)</f>
        <v>KCl</v>
      </c>
      <c r="E7" s="102">
        <f>'Таблица Менделеева'!D9+'Таблица Менделеева'!V7</f>
        <v>74.555000000000007</v>
      </c>
      <c r="G7" s="86" t="s">
        <v>136</v>
      </c>
      <c r="H7" s="85">
        <f>'Таблица Менделеева'!D9/E7</f>
        <v>0.52447186640735022</v>
      </c>
      <c r="I7" s="85"/>
      <c r="J7" s="86" t="s">
        <v>143</v>
      </c>
      <c r="K7" s="85">
        <f>'Таблица Менделеева'!V7/E7</f>
        <v>0.47552813359264973</v>
      </c>
      <c r="L7" s="85"/>
      <c r="M7" s="86"/>
      <c r="N7" s="85"/>
      <c r="O7" s="179">
        <v>343</v>
      </c>
      <c r="P7" s="85"/>
    </row>
    <row r="8" spans="1:18" s="92" customFormat="1" ht="18">
      <c r="A8">
        <v>6</v>
      </c>
      <c r="B8" t="s">
        <v>136</v>
      </c>
      <c r="C8" t="s">
        <v>447</v>
      </c>
      <c r="D8" s="100" t="str">
        <f>VLOOKUP(A8,Рецепты!B11:D28,2)</f>
        <v>K2SO4</v>
      </c>
      <c r="E8" s="101">
        <f>2*'Таблица Менделеева'!D9+E33</f>
        <v>174.26560000000001</v>
      </c>
      <c r="G8" s="144" t="s">
        <v>136</v>
      </c>
      <c r="H8" s="85">
        <f>2*'Таблица Менделеева'!D9/E8</f>
        <v>0.44876326710492487</v>
      </c>
      <c r="I8" s="91"/>
      <c r="J8" s="144" t="s">
        <v>306</v>
      </c>
      <c r="K8" s="85">
        <f>E33/E8</f>
        <v>0.55123673289507502</v>
      </c>
      <c r="L8" s="91"/>
      <c r="M8" s="91"/>
      <c r="N8" s="91"/>
      <c r="O8" s="179">
        <v>100</v>
      </c>
      <c r="P8" s="91"/>
    </row>
    <row r="9" spans="1:18" ht="18">
      <c r="A9">
        <v>7</v>
      </c>
      <c r="B9" t="s">
        <v>135</v>
      </c>
      <c r="C9" t="s">
        <v>448</v>
      </c>
      <c r="D9" s="100" t="str">
        <f>VLOOKUP(A9,Рецепты!B12:D29,2)</f>
        <v xml:space="preserve">NaHCO3 </v>
      </c>
      <c r="E9" s="101">
        <f>'Таблица Менделеева'!D7+E34</f>
        <v>84.006149999999991</v>
      </c>
      <c r="F9" s="106"/>
      <c r="G9" s="86" t="s">
        <v>135</v>
      </c>
      <c r="H9" s="85">
        <f>'Таблица Менделеева'!D7/E9</f>
        <v>0.27366805882664547</v>
      </c>
      <c r="I9" s="85"/>
      <c r="J9" s="86" t="s">
        <v>310</v>
      </c>
      <c r="K9" s="85">
        <f>E34/E9</f>
        <v>0.72633194117335464</v>
      </c>
      <c r="L9" s="85"/>
      <c r="M9" s="86"/>
      <c r="N9" s="85"/>
      <c r="O9" s="179">
        <v>96</v>
      </c>
      <c r="P9" s="85"/>
    </row>
    <row r="10" spans="1:18" s="92" customFormat="1" ht="18">
      <c r="A10">
        <v>8</v>
      </c>
      <c r="B10" t="s">
        <v>135</v>
      </c>
      <c r="C10" t="s">
        <v>448</v>
      </c>
      <c r="D10" s="100" t="str">
        <f>VLOOKUP(A10,Рецепты!B13:D30,2)</f>
        <v>Na2CO3</v>
      </c>
      <c r="E10" s="101">
        <f>2*'Таблица Менделеева'!D7+E35</f>
        <v>105.98894999999999</v>
      </c>
      <c r="G10" s="86" t="s">
        <v>135</v>
      </c>
      <c r="H10" s="85">
        <f>2*'Таблица Менделеева'!D7/E10</f>
        <v>0.4338150344918032</v>
      </c>
      <c r="I10" s="91"/>
      <c r="J10" s="144" t="s">
        <v>436</v>
      </c>
      <c r="K10" s="85">
        <f>E35/E10</f>
        <v>0.56618496550819686</v>
      </c>
      <c r="L10" s="91"/>
      <c r="M10" s="91"/>
      <c r="N10" s="91"/>
      <c r="O10" s="179"/>
      <c r="P10" s="91"/>
    </row>
    <row r="11" spans="1:18">
      <c r="A11">
        <v>9</v>
      </c>
      <c r="B11" t="s">
        <v>136</v>
      </c>
      <c r="C11" t="s">
        <v>206</v>
      </c>
      <c r="D11" s="100" t="str">
        <f>VLOOKUP(A11,Рецепты!B14:D31,2)</f>
        <v>KBr</v>
      </c>
      <c r="E11" s="102">
        <f>'Таблица Менделеева'!D9+'Таблица Менделеева'!V11</f>
        <v>119.006</v>
      </c>
      <c r="G11" s="86" t="s">
        <v>136</v>
      </c>
      <c r="H11" s="85">
        <f>'Таблица Менделеева'!D9/E11</f>
        <v>0.32857166865536186</v>
      </c>
      <c r="I11" s="85"/>
      <c r="J11" s="86" t="s">
        <v>206</v>
      </c>
      <c r="K11" s="85">
        <f>'Таблица Менделеева'!V11/E11</f>
        <v>0.67142833134463809</v>
      </c>
      <c r="L11" s="85"/>
      <c r="M11" s="86"/>
      <c r="N11" s="85"/>
      <c r="O11" s="179"/>
      <c r="P11" s="85"/>
    </row>
    <row r="12" spans="1:18">
      <c r="A12">
        <v>10</v>
      </c>
      <c r="C12" t="s">
        <v>449</v>
      </c>
      <c r="D12" s="100" t="str">
        <f>VLOOKUP(A12,Рецепты!B15:D32,2)</f>
        <v>Н3ВО3</v>
      </c>
      <c r="E12" s="102">
        <f>3*'Таблица Менделеева'!D3+'Таблица Менделеева'!J5+3*'Таблица Менделеева'!S5</f>
        <v>61.830199999999998</v>
      </c>
      <c r="G12" s="86" t="s">
        <v>161</v>
      </c>
      <c r="H12" s="85">
        <f>'Таблица Менделеева'!J5/E12</f>
        <v>0.1748498306652736</v>
      </c>
      <c r="I12" s="85"/>
      <c r="J12" s="86"/>
      <c r="K12" s="85"/>
      <c r="L12" s="85"/>
      <c r="M12" s="86"/>
      <c r="N12" s="85"/>
      <c r="O12" s="180">
        <v>48.7</v>
      </c>
      <c r="P12" s="85"/>
    </row>
    <row r="13" spans="1:18">
      <c r="A13">
        <v>11</v>
      </c>
      <c r="B13" t="s">
        <v>134</v>
      </c>
      <c r="C13" t="s">
        <v>204</v>
      </c>
      <c r="D13" s="100" t="str">
        <f>VLOOKUP(A13,Рецепты!B16:D33,2)</f>
        <v>LiF</v>
      </c>
      <c r="E13" s="102">
        <f>'Таблица Менделеева'!D5+'Таблица Менделеева'!V5</f>
        <v>25.939399999999999</v>
      </c>
      <c r="G13" s="86" t="s">
        <v>134</v>
      </c>
      <c r="H13" s="85">
        <f>'Таблица Менделеева'!D5/E13</f>
        <v>0.26758521785392109</v>
      </c>
      <c r="I13" s="85"/>
      <c r="J13" s="86" t="s">
        <v>204</v>
      </c>
      <c r="K13" s="85">
        <f>'Таблица Менделеева'!V5/E13</f>
        <v>0.73241478214607902</v>
      </c>
      <c r="L13" s="85"/>
      <c r="M13" s="86"/>
      <c r="N13" s="85"/>
      <c r="O13" s="179"/>
      <c r="P13" s="85"/>
    </row>
    <row r="14" spans="1:18" s="92" customFormat="1">
      <c r="A14">
        <v>12</v>
      </c>
      <c r="B14" t="s">
        <v>136</v>
      </c>
      <c r="C14" t="s">
        <v>204</v>
      </c>
      <c r="D14" s="100" t="str">
        <f>VLOOKUP(A14,Рецепты!B17:D34,2)</f>
        <v>KF * 2H2O</v>
      </c>
      <c r="E14" s="102">
        <f>'Таблица Менделеева'!D9+'Таблица Менделеева'!V5</f>
        <v>58.100399999999993</v>
      </c>
      <c r="G14" s="86" t="s">
        <v>136</v>
      </c>
      <c r="H14" s="85">
        <f>'Таблица Менделеева'!D9/E14</f>
        <v>0.67300741475101722</v>
      </c>
      <c r="I14" s="91"/>
      <c r="J14" s="127" t="s">
        <v>204</v>
      </c>
      <c r="K14" s="85">
        <f>'Таблица Менделеева'!V5/E14</f>
        <v>0.32699258524898284</v>
      </c>
      <c r="L14" s="91"/>
      <c r="M14" s="91"/>
      <c r="N14" s="91"/>
      <c r="O14" s="179"/>
      <c r="P14" s="91"/>
    </row>
    <row r="15" spans="1:18" s="92" customFormat="1">
      <c r="A15">
        <v>13</v>
      </c>
      <c r="B15" t="s">
        <v>135</v>
      </c>
      <c r="C15" t="s">
        <v>204</v>
      </c>
      <c r="D15" s="100" t="str">
        <f>VLOOKUP(A15,Рецепты!B18:D35,2)</f>
        <v>NaF</v>
      </c>
      <c r="E15" s="101">
        <f>'Таблица Менделеева'!D7+'Таблица Менделеева'!V5</f>
        <v>41.988199999999999</v>
      </c>
      <c r="G15" s="86" t="s">
        <v>135</v>
      </c>
      <c r="H15" s="85">
        <f>'Таблица Менделеева'!D7/E15</f>
        <v>0.54753002033904763</v>
      </c>
      <c r="I15" s="91"/>
      <c r="J15" s="86" t="s">
        <v>204</v>
      </c>
      <c r="K15" s="85">
        <f>'Таблица Менделеева'!V5/E15</f>
        <v>0.45246997966095237</v>
      </c>
      <c r="L15" s="91"/>
      <c r="M15" s="91"/>
      <c r="N15" s="91"/>
      <c r="O15" s="179"/>
      <c r="P15" s="91"/>
    </row>
    <row r="16" spans="1:18" s="92" customFormat="1">
      <c r="A16">
        <v>14</v>
      </c>
      <c r="B16" t="s">
        <v>135</v>
      </c>
      <c r="C16" t="s">
        <v>432</v>
      </c>
      <c r="D16" s="100" t="str">
        <f>VLOOKUP(A16,Рецепты!B19:D35,2)</f>
        <v>Na2SiO3</v>
      </c>
      <c r="E16" s="101">
        <f>2*'Таблица Менделеева'!D7+E36</f>
        <v>122.06379999999999</v>
      </c>
      <c r="G16" s="144" t="s">
        <v>135</v>
      </c>
      <c r="H16" s="85">
        <f>2*'Таблица Менделеева'!D7/E16</f>
        <v>0.37668497949433005</v>
      </c>
      <c r="I16" s="91"/>
      <c r="J16" s="144" t="s">
        <v>172</v>
      </c>
      <c r="K16" s="85">
        <f>'Таблица Менделеева'!M7/E16</f>
        <v>0.23009278754225251</v>
      </c>
      <c r="L16" s="91"/>
      <c r="M16" s="91"/>
      <c r="N16" s="91"/>
      <c r="O16" s="179"/>
      <c r="P16" s="91"/>
    </row>
    <row r="17" spans="1:16" ht="18">
      <c r="A17">
        <v>15</v>
      </c>
      <c r="B17" t="s">
        <v>153</v>
      </c>
      <c r="C17" t="s">
        <v>143</v>
      </c>
      <c r="D17" s="100" t="str">
        <f>VLOOKUP(A17,Рецепты!B20:D36,2)</f>
        <v xml:space="preserve">CaCI2 * 2Н20 </v>
      </c>
      <c r="E17" s="102">
        <f>'Таблица Менделеева'!G9+2*'Таблица Менделеева'!V7+2*Реактивы!E32</f>
        <v>147.0128</v>
      </c>
      <c r="G17" s="86" t="s">
        <v>153</v>
      </c>
      <c r="H17" s="85">
        <f>'Таблица Менделеева'!G9/E17</f>
        <v>0.27262932207263585</v>
      </c>
      <c r="I17" s="85"/>
      <c r="J17" s="86" t="s">
        <v>143</v>
      </c>
      <c r="K17" s="85">
        <f>2*'Таблица Менделеева'!V7/E17</f>
        <v>0.482311744283491</v>
      </c>
      <c r="L17" s="85"/>
      <c r="M17" s="86" t="s">
        <v>308</v>
      </c>
      <c r="N17" s="85">
        <f>2*E32/E17</f>
        <v>0.24505893364387321</v>
      </c>
      <c r="O17" s="179">
        <f>427/N17</f>
        <v>1742.438007261261</v>
      </c>
      <c r="P17" s="85"/>
    </row>
    <row r="18" spans="1:16" ht="18">
      <c r="A18">
        <v>16</v>
      </c>
      <c r="B18" t="s">
        <v>155</v>
      </c>
      <c r="C18" t="s">
        <v>143</v>
      </c>
      <c r="D18" s="100" t="str">
        <f>VLOOKUP(A18,Рецепты!B21:D37,2)</f>
        <v xml:space="preserve">SrCI2 * 6Н20 </v>
      </c>
      <c r="E18" s="102">
        <f>'Таблица Менделеева'!G13+2*'Таблица Менделеева'!V7+6*E32</f>
        <v>266.60640000000001</v>
      </c>
      <c r="G18" s="86" t="s">
        <v>155</v>
      </c>
      <c r="H18" s="85">
        <f>'Таблица Менделеева'!G13/E18</f>
        <v>0.32864927473609035</v>
      </c>
      <c r="I18" s="85"/>
      <c r="J18" s="86" t="s">
        <v>143</v>
      </c>
      <c r="K18" s="85">
        <f>2*'Таблица Менделеева'!V7/E18</f>
        <v>0.2659576064190507</v>
      </c>
      <c r="L18" s="85"/>
      <c r="M18" s="86" t="s">
        <v>308</v>
      </c>
      <c r="N18" s="85">
        <f>6*E32/E18</f>
        <v>0.4053931188448589</v>
      </c>
      <c r="O18" s="179"/>
      <c r="P18" s="365">
        <f>Рецепты!D22*Реактивы!H18/H19</f>
        <v>2.2149408266268171</v>
      </c>
    </row>
    <row r="19" spans="1:16">
      <c r="A19">
        <v>17</v>
      </c>
      <c r="B19" t="s">
        <v>155</v>
      </c>
      <c r="D19" s="100" t="str">
        <f>VLOOKUP(A19,Рецепты!B22:D38,2)</f>
        <v>SrCO3</v>
      </c>
      <c r="E19" s="104">
        <f>'Таблица Менделеева'!G13+E35</f>
        <v>147.62934999999999</v>
      </c>
      <c r="G19" s="86" t="s">
        <v>155</v>
      </c>
      <c r="H19" s="85">
        <f>'Таблица Менделеева'!G13/E19</f>
        <v>0.59351341721683404</v>
      </c>
      <c r="J19" s="86" t="s">
        <v>357</v>
      </c>
      <c r="K19" s="85">
        <f>('Таблица Менделеева'!M5+3*'Таблица Менделеева'!S5)/E19</f>
        <v>0.40648658278316613</v>
      </c>
      <c r="O19" s="179"/>
    </row>
    <row r="20" spans="1:16" ht="18">
      <c r="D20" s="103" t="s">
        <v>144</v>
      </c>
      <c r="E20" s="102">
        <f>'Таблица Менделеева'!Y9+E33+7*E32</f>
        <v>278.00240000000002</v>
      </c>
      <c r="G20" s="86" t="s">
        <v>214</v>
      </c>
      <c r="H20" s="85">
        <f>'Таблица Менделеева'!Y9/E20</f>
        <v>0.20088675493448976</v>
      </c>
      <c r="I20" s="85"/>
      <c r="J20" s="86" t="s">
        <v>306</v>
      </c>
      <c r="K20" s="85">
        <f>E33/E20</f>
        <v>0.3455423406416635</v>
      </c>
      <c r="L20" s="85"/>
      <c r="M20" s="86" t="s">
        <v>308</v>
      </c>
      <c r="N20" s="85">
        <f>7*E32/E20</f>
        <v>0.45357090442384668</v>
      </c>
      <c r="O20" s="179"/>
      <c r="P20" s="85"/>
    </row>
    <row r="21" spans="1:16" ht="18">
      <c r="D21" s="103" t="s">
        <v>305</v>
      </c>
      <c r="E21" s="102">
        <f>12*'Таблица Менделеева'!M5+22*'Таблица Менделеева'!D3+'Таблица Менделеева'!Y9+14*'Таблица Менделеева'!S5</f>
        <v>446.12639999999999</v>
      </c>
      <c r="G21" s="86" t="s">
        <v>214</v>
      </c>
      <c r="H21" s="85">
        <f>'Таблица Менделеева'!Y9/E21</f>
        <v>0.12518201119682673</v>
      </c>
      <c r="I21" s="85"/>
      <c r="J21" s="86"/>
      <c r="K21" s="85"/>
      <c r="L21" s="85"/>
      <c r="M21" s="86"/>
      <c r="N21" s="85"/>
      <c r="O21" s="179"/>
      <c r="P21" s="85"/>
    </row>
    <row r="22" spans="1:16" ht="18">
      <c r="D22" s="103" t="s">
        <v>145</v>
      </c>
      <c r="E22" s="102">
        <f>'Таблица Менделеева'!D11+E33+5*E32</f>
        <v>249.6746</v>
      </c>
      <c r="G22" s="86" t="s">
        <v>137</v>
      </c>
      <c r="H22" s="85">
        <f>'Таблица Менделеева'!D11/E22</f>
        <v>0.25451527708465338</v>
      </c>
      <c r="I22" s="85"/>
      <c r="J22" s="86" t="s">
        <v>306</v>
      </c>
      <c r="K22" s="85">
        <f>E33/E22</f>
        <v>0.38474718693851917</v>
      </c>
      <c r="L22" s="85"/>
      <c r="M22" s="86" t="s">
        <v>308</v>
      </c>
      <c r="N22" s="85">
        <f>5*E32/E22</f>
        <v>0.36073753597682745</v>
      </c>
      <c r="O22" s="179"/>
      <c r="P22" s="85"/>
    </row>
    <row r="23" spans="1:16" ht="18">
      <c r="D23" s="103" t="s">
        <v>146</v>
      </c>
      <c r="E23" s="102">
        <f>'Таблица Менделеева'!AE9+E33+5*E32</f>
        <v>244.83860000000001</v>
      </c>
      <c r="G23" s="86" t="s">
        <v>275</v>
      </c>
      <c r="H23" s="85">
        <f>'Таблица Менделеева'!AE9/E23</f>
        <v>0.23979062125008066</v>
      </c>
      <c r="I23" s="85"/>
      <c r="J23" s="86" t="s">
        <v>306</v>
      </c>
      <c r="K23" s="85">
        <f>E33/E23</f>
        <v>0.39234663161772693</v>
      </c>
      <c r="L23" s="85"/>
      <c r="M23" s="86" t="s">
        <v>308</v>
      </c>
      <c r="N23" s="85">
        <f>5*E32/E23</f>
        <v>0.36786274713219241</v>
      </c>
      <c r="O23" s="179"/>
      <c r="P23" s="85"/>
    </row>
    <row r="24" spans="1:16" ht="18">
      <c r="D24" s="103" t="s">
        <v>147</v>
      </c>
      <c r="E24" s="104">
        <f>'Таблица Менделеева'!G11+E33+7*E32</f>
        <v>287.52539999999999</v>
      </c>
      <c r="F24" s="107"/>
      <c r="G24" s="86" t="s">
        <v>154</v>
      </c>
      <c r="H24" s="85">
        <f>'Таблица Менделеева'!G11/E24</f>
        <v>0.22735382682712554</v>
      </c>
      <c r="I24" s="85"/>
      <c r="J24" s="86" t="s">
        <v>306</v>
      </c>
      <c r="K24" s="85">
        <f>E33/E24</f>
        <v>0.33409778753459696</v>
      </c>
      <c r="L24" s="85"/>
      <c r="M24" s="86" t="s">
        <v>308</v>
      </c>
      <c r="N24" s="85">
        <f>7*E32/E24</f>
        <v>0.43854838563827753</v>
      </c>
      <c r="O24" s="179"/>
      <c r="P24" s="85"/>
    </row>
    <row r="25" spans="1:16" ht="18">
      <c r="D25" s="103" t="s">
        <v>148</v>
      </c>
      <c r="E25" s="102">
        <f>'Таблица Менделеева'!V9+E33+E32</f>
        <v>169.01299999999998</v>
      </c>
      <c r="G25" s="86" t="s">
        <v>205</v>
      </c>
      <c r="H25" s="85">
        <f>'Таблица Менделеева'!V9/E25</f>
        <v>0.32505191908314751</v>
      </c>
      <c r="I25" s="85"/>
      <c r="J25" s="86" t="s">
        <v>306</v>
      </c>
      <c r="K25" s="85">
        <f>E33/E25</f>
        <v>0.5683681136953963</v>
      </c>
      <c r="L25" s="85"/>
      <c r="M25" s="86" t="s">
        <v>308</v>
      </c>
      <c r="N25" s="85">
        <f>E32/E25</f>
        <v>0.10657996722145635</v>
      </c>
      <c r="O25" s="179"/>
      <c r="P25" s="85"/>
    </row>
    <row r="26" spans="1:16" ht="18">
      <c r="D26" s="103" t="s">
        <v>150</v>
      </c>
      <c r="E26" s="102">
        <f>2*'Таблица Менделеева'!D7+'Таблица Менделеева'!S13+4*'Таблица Менделеева'!S5</f>
        <v>205.91720000000001</v>
      </c>
      <c r="G26" s="86" t="s">
        <v>199</v>
      </c>
      <c r="H26" s="85">
        <f>'Таблица Менделеева'!S13/E26</f>
        <v>0.46591542620043391</v>
      </c>
      <c r="I26" s="85"/>
      <c r="J26" s="86"/>
      <c r="K26" s="85"/>
      <c r="L26" s="85"/>
      <c r="M26" s="86" t="s">
        <v>308</v>
      </c>
      <c r="N26" s="85">
        <f>2*E32/E26</f>
        <v>0.17495770144504685</v>
      </c>
      <c r="O26" s="179"/>
      <c r="P26" s="85"/>
    </row>
    <row r="27" spans="1:16" ht="18">
      <c r="D27" s="103" t="s">
        <v>149</v>
      </c>
      <c r="E27" s="102">
        <f>'Таблица Менделеева'!AB9+E33+7*E32</f>
        <v>281.08859999999999</v>
      </c>
      <c r="G27" s="86" t="s">
        <v>271</v>
      </c>
      <c r="H27" s="85">
        <f>'Таблица Менделеева'!AB9/E27</f>
        <v>0.20966058388707334</v>
      </c>
      <c r="I27" s="85"/>
      <c r="J27" s="86" t="s">
        <v>306</v>
      </c>
      <c r="K27" s="85">
        <f>E33/E27</f>
        <v>0.34174847361294625</v>
      </c>
      <c r="L27" s="85"/>
      <c r="M27" s="86" t="s">
        <v>308</v>
      </c>
      <c r="N27" s="85">
        <f>7*E32/E27</f>
        <v>0.44859094249998044</v>
      </c>
      <c r="O27" s="179"/>
      <c r="P27" s="85"/>
    </row>
    <row r="28" spans="1:16">
      <c r="B28" t="s">
        <v>136</v>
      </c>
      <c r="C28" t="s">
        <v>3</v>
      </c>
      <c r="D28" s="103" t="s">
        <v>307</v>
      </c>
      <c r="E28" s="102">
        <f>'Таблица Менделеева'!D9+'Таблица Менделеева'!V15</f>
        <v>166.00200000000001</v>
      </c>
      <c r="G28" s="86" t="s">
        <v>136</v>
      </c>
      <c r="H28" s="85">
        <f>'Таблица Менделеева'!D9/E28</f>
        <v>0.23555137889904937</v>
      </c>
      <c r="I28" s="85"/>
      <c r="J28" s="86" t="s">
        <v>3</v>
      </c>
      <c r="K28" s="85">
        <f>'Таблица Менделеева'!V15/E28</f>
        <v>0.76444862110095058</v>
      </c>
      <c r="L28" s="85"/>
      <c r="M28" s="86"/>
      <c r="N28" s="85"/>
      <c r="O28" s="179"/>
      <c r="P28" s="85"/>
    </row>
    <row r="29" spans="1:16">
      <c r="D29" s="103" t="s">
        <v>338</v>
      </c>
      <c r="E29" s="102">
        <f>'Таблица Менделеева'!D13+'Таблица Менделеева'!V7</f>
        <v>120.923</v>
      </c>
      <c r="G29" s="86" t="s">
        <v>141</v>
      </c>
      <c r="H29" s="85">
        <f>'Таблица Менделеева'!D13/E29</f>
        <v>0.70681342672609837</v>
      </c>
      <c r="I29" s="85"/>
      <c r="J29" s="86" t="s">
        <v>143</v>
      </c>
      <c r="K29" s="85">
        <f>'Таблица Менделеева'!V7/E29</f>
        <v>0.29318657327390157</v>
      </c>
      <c r="L29" s="85"/>
      <c r="M29" s="86"/>
      <c r="N29" s="85"/>
      <c r="O29" s="179"/>
      <c r="P29" s="85"/>
    </row>
    <row r="30" spans="1:16" s="92" customFormat="1">
      <c r="A30"/>
      <c r="B30"/>
      <c r="C30"/>
      <c r="D30" s="103" t="s">
        <v>342</v>
      </c>
      <c r="E30" s="102">
        <f>'Таблица Менделеева'!D9+'Таблица Менделеева'!V15+3*'Таблица Менделеева'!S5</f>
        <v>214.00020000000001</v>
      </c>
      <c r="G30" s="86" t="s">
        <v>136</v>
      </c>
      <c r="H30" s="85">
        <f>'Таблица Менделеева'!D9/E30</f>
        <v>0.18271945540237811</v>
      </c>
      <c r="I30" s="91"/>
      <c r="J30" s="86" t="s">
        <v>3</v>
      </c>
      <c r="K30" s="85">
        <f>'Таблица Менделеева'!V15/E30</f>
        <v>0.59299010000925234</v>
      </c>
      <c r="L30" s="91"/>
      <c r="M30" s="91"/>
      <c r="N30" s="91"/>
      <c r="O30" s="179"/>
      <c r="P30" s="91"/>
    </row>
    <row r="31" spans="1:16" s="92" customFormat="1">
      <c r="D31" s="108"/>
      <c r="G31" s="91"/>
      <c r="H31" s="91"/>
      <c r="I31" s="91"/>
      <c r="J31" s="127"/>
      <c r="K31" s="91"/>
      <c r="L31" s="91"/>
      <c r="M31" s="91"/>
      <c r="N31" s="91"/>
      <c r="O31" s="91"/>
      <c r="P31" s="91"/>
    </row>
    <row r="32" spans="1:16" ht="18">
      <c r="D32" s="55" t="s">
        <v>303</v>
      </c>
      <c r="E32">
        <f>2*'Таблица Менделеева'!D3+'Таблица Менделеева'!S5</f>
        <v>18.013400000000001</v>
      </c>
    </row>
    <row r="33" spans="4:5" ht="18">
      <c r="D33" s="55" t="s">
        <v>302</v>
      </c>
      <c r="E33">
        <f>'Таблица Менделеева'!S7+4*'Таблица Менделеева'!S5</f>
        <v>96.061599999999999</v>
      </c>
    </row>
    <row r="34" spans="4:5" ht="18">
      <c r="D34" s="55" t="s">
        <v>304</v>
      </c>
      <c r="E34">
        <f>'Таблица Менделеева'!D3+'Таблица Менделеева'!M5+3*'Таблица Менделеева'!S5</f>
        <v>61.016349999999996</v>
      </c>
    </row>
    <row r="35" spans="4:5" ht="18">
      <c r="D35" s="55" t="s">
        <v>431</v>
      </c>
      <c r="E35">
        <f>'Таблица Менделеева'!M5+3*'Таблица Менделеева'!S5</f>
        <v>60.009349999999998</v>
      </c>
    </row>
    <row r="36" spans="4:5" ht="18">
      <c r="D36" s="108" t="s">
        <v>500</v>
      </c>
      <c r="E36">
        <f>'Таблица Менделеева'!M7+3*'Таблица Менделеева'!S5</f>
        <v>76.084199999999996</v>
      </c>
    </row>
    <row r="37" spans="4:5" ht="18">
      <c r="D37" s="108" t="s">
        <v>501</v>
      </c>
      <c r="E37">
        <f>'Таблица Менделеева'!P5+3*'Таблица Менделеева'!S5</f>
        <v>62.004899999999999</v>
      </c>
    </row>
  </sheetData>
  <phoneticPr fontId="76" type="noConversion"/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3"/>
  <sheetViews>
    <sheetView zoomScale="70" zoomScaleNormal="70" workbookViewId="0">
      <selection activeCell="D9" sqref="D9"/>
    </sheetView>
  </sheetViews>
  <sheetFormatPr defaultRowHeight="15"/>
  <cols>
    <col min="1" max="2" width="16.7109375" customWidth="1"/>
    <col min="3" max="3" width="3.7109375" customWidth="1"/>
    <col min="4" max="5" width="6.28515625" customWidth="1"/>
    <col min="6" max="6" width="3.7109375" customWidth="1"/>
    <col min="7" max="8" width="6.28515625" style="57" customWidth="1"/>
    <col min="9" max="9" width="3.7109375" style="57" customWidth="1"/>
    <col min="10" max="11" width="6.28515625" style="57" customWidth="1"/>
    <col min="12" max="12" width="3.7109375" customWidth="1"/>
    <col min="13" max="14" width="6.28515625" style="57" customWidth="1"/>
    <col min="15" max="15" width="3.7109375" style="57" customWidth="1"/>
    <col min="16" max="17" width="6.28515625" style="57" customWidth="1"/>
    <col min="18" max="18" width="3.7109375" style="57" customWidth="1"/>
    <col min="19" max="20" width="6.28515625" style="57" customWidth="1"/>
    <col min="21" max="21" width="3.7109375" style="57" customWidth="1"/>
    <col min="22" max="23" width="6.28515625" style="57" customWidth="1"/>
    <col min="24" max="24" width="3.7109375" customWidth="1"/>
    <col min="25" max="26" width="6.28515625" style="57" customWidth="1"/>
    <col min="27" max="27" width="4.140625" style="57" customWidth="1"/>
    <col min="28" max="29" width="6.28515625" style="57" customWidth="1"/>
    <col min="30" max="30" width="4.42578125" style="57" customWidth="1"/>
    <col min="31" max="32" width="6.28515625" style="57" customWidth="1"/>
    <col min="33" max="34" width="16.7109375" customWidth="1"/>
  </cols>
  <sheetData>
    <row r="1" spans="1:34" ht="23.25" thickBot="1">
      <c r="A1" s="239" t="s">
        <v>0</v>
      </c>
      <c r="B1" s="239" t="s">
        <v>1</v>
      </c>
      <c r="C1" s="241" t="s">
        <v>2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1"/>
      <c r="AH1" s="1"/>
    </row>
    <row r="2" spans="1:34" ht="24" thickBot="1">
      <c r="A2" s="240"/>
      <c r="B2" s="240"/>
      <c r="C2" s="243" t="s">
        <v>3</v>
      </c>
      <c r="D2" s="246"/>
      <c r="E2" s="247"/>
      <c r="F2" s="243" t="s">
        <v>4</v>
      </c>
      <c r="G2" s="244"/>
      <c r="H2" s="245"/>
      <c r="I2" s="243" t="s">
        <v>5</v>
      </c>
      <c r="J2" s="244"/>
      <c r="K2" s="245"/>
      <c r="L2" s="243" t="s">
        <v>6</v>
      </c>
      <c r="M2" s="244"/>
      <c r="N2" s="245"/>
      <c r="O2" s="243" t="s">
        <v>7</v>
      </c>
      <c r="P2" s="246"/>
      <c r="Q2" s="247"/>
      <c r="R2" s="243" t="s">
        <v>8</v>
      </c>
      <c r="S2" s="246"/>
      <c r="T2" s="247"/>
      <c r="U2" s="243" t="s">
        <v>9</v>
      </c>
      <c r="V2" s="246"/>
      <c r="W2" s="247"/>
      <c r="X2" s="243" t="s">
        <v>10</v>
      </c>
      <c r="Y2" s="246"/>
      <c r="Z2" s="246"/>
      <c r="AA2" s="246"/>
      <c r="AB2" s="246"/>
      <c r="AC2" s="246"/>
      <c r="AD2" s="246"/>
      <c r="AE2" s="246"/>
      <c r="AF2" s="247"/>
      <c r="AG2" s="1"/>
      <c r="AH2" s="1"/>
    </row>
    <row r="3" spans="1:34" ht="34.9" customHeight="1">
      <c r="A3" s="223" t="s">
        <v>3</v>
      </c>
      <c r="B3" s="225">
        <v>1</v>
      </c>
      <c r="C3" s="39">
        <v>1</v>
      </c>
      <c r="D3" s="41">
        <v>1.0069999999999999</v>
      </c>
      <c r="E3" s="228" t="s">
        <v>133</v>
      </c>
      <c r="F3" s="232"/>
      <c r="G3" s="233"/>
      <c r="H3" s="234"/>
      <c r="I3" s="232"/>
      <c r="J3" s="233"/>
      <c r="K3" s="234"/>
      <c r="L3" s="232"/>
      <c r="M3" s="233"/>
      <c r="N3" s="234"/>
      <c r="O3" s="340"/>
      <c r="P3" s="341"/>
      <c r="Q3" s="342"/>
      <c r="R3" s="340"/>
      <c r="S3" s="341"/>
      <c r="T3" s="342"/>
      <c r="U3" s="334" t="s">
        <v>11</v>
      </c>
      <c r="V3" s="335"/>
      <c r="W3" s="336"/>
      <c r="X3" s="47">
        <v>2</v>
      </c>
      <c r="Y3" s="2">
        <v>4.0019999999999998</v>
      </c>
      <c r="Z3" s="237" t="s">
        <v>211</v>
      </c>
      <c r="AA3" s="348"/>
      <c r="AB3" s="349"/>
      <c r="AC3" s="349"/>
      <c r="AD3" s="349"/>
      <c r="AE3" s="349"/>
      <c r="AF3" s="349"/>
      <c r="AG3" s="1"/>
      <c r="AH3" s="1"/>
    </row>
    <row r="4" spans="1:34" ht="11.45" customHeight="1" thickBot="1">
      <c r="A4" s="224"/>
      <c r="B4" s="225"/>
      <c r="C4" s="230" t="s">
        <v>12</v>
      </c>
      <c r="D4" s="231"/>
      <c r="E4" s="229"/>
      <c r="F4" s="235"/>
      <c r="G4" s="231"/>
      <c r="H4" s="236"/>
      <c r="I4" s="235"/>
      <c r="J4" s="231"/>
      <c r="K4" s="236"/>
      <c r="L4" s="235"/>
      <c r="M4" s="231"/>
      <c r="N4" s="236"/>
      <c r="O4" s="343"/>
      <c r="P4" s="344"/>
      <c r="Q4" s="345"/>
      <c r="R4" s="343"/>
      <c r="S4" s="344"/>
      <c r="T4" s="345"/>
      <c r="U4" s="337"/>
      <c r="V4" s="338"/>
      <c r="W4" s="339"/>
      <c r="X4" s="230" t="s">
        <v>13</v>
      </c>
      <c r="Y4" s="231"/>
      <c r="Z4" s="238"/>
      <c r="AA4" s="348"/>
      <c r="AB4" s="349"/>
      <c r="AC4" s="349"/>
      <c r="AD4" s="349"/>
      <c r="AE4" s="349"/>
      <c r="AF4" s="349"/>
      <c r="AG4" s="1"/>
      <c r="AH4" s="1"/>
    </row>
    <row r="5" spans="1:34" ht="24" customHeight="1">
      <c r="A5" s="223" t="s">
        <v>4</v>
      </c>
      <c r="B5" s="226">
        <v>2</v>
      </c>
      <c r="C5" s="39">
        <v>2</v>
      </c>
      <c r="D5" s="50">
        <v>6.9409999999999998</v>
      </c>
      <c r="E5" s="237" t="s">
        <v>134</v>
      </c>
      <c r="F5" s="68">
        <v>4</v>
      </c>
      <c r="G5" s="59">
        <v>9.0120000000000005</v>
      </c>
      <c r="H5" s="237" t="s">
        <v>151</v>
      </c>
      <c r="I5" s="69">
        <v>5</v>
      </c>
      <c r="J5" s="67">
        <v>10.811</v>
      </c>
      <c r="K5" s="272" t="s">
        <v>161</v>
      </c>
      <c r="L5" s="64">
        <v>6</v>
      </c>
      <c r="M5" s="67">
        <v>12.011150000000001</v>
      </c>
      <c r="N5" s="272" t="s">
        <v>171</v>
      </c>
      <c r="O5" s="64">
        <v>7</v>
      </c>
      <c r="P5" s="67">
        <v>14.0067</v>
      </c>
      <c r="Q5" s="272" t="s">
        <v>187</v>
      </c>
      <c r="R5" s="64">
        <v>8</v>
      </c>
      <c r="S5" s="67">
        <v>15.9994</v>
      </c>
      <c r="T5" s="272" t="s">
        <v>195</v>
      </c>
      <c r="U5" s="64">
        <v>9</v>
      </c>
      <c r="V5" s="67">
        <v>18.9984</v>
      </c>
      <c r="W5" s="272" t="s">
        <v>204</v>
      </c>
      <c r="X5" s="64">
        <v>10</v>
      </c>
      <c r="Y5" s="67">
        <v>20.183</v>
      </c>
      <c r="Z5" s="272" t="s">
        <v>212</v>
      </c>
      <c r="AA5" s="348"/>
      <c r="AB5" s="349"/>
      <c r="AC5" s="349"/>
      <c r="AD5" s="349"/>
      <c r="AE5" s="349"/>
      <c r="AF5" s="349"/>
      <c r="AG5" s="1"/>
      <c r="AH5" s="1"/>
    </row>
    <row r="6" spans="1:34" ht="15" customHeight="1" thickBot="1">
      <c r="A6" s="224"/>
      <c r="B6" s="227"/>
      <c r="C6" s="230" t="s">
        <v>14</v>
      </c>
      <c r="D6" s="231"/>
      <c r="E6" s="238"/>
      <c r="F6" s="230" t="s">
        <v>15</v>
      </c>
      <c r="G6" s="231"/>
      <c r="H6" s="238"/>
      <c r="I6" s="270" t="s">
        <v>16</v>
      </c>
      <c r="J6" s="271"/>
      <c r="K6" s="273"/>
      <c r="L6" s="270" t="s">
        <v>17</v>
      </c>
      <c r="M6" s="271"/>
      <c r="N6" s="273"/>
      <c r="O6" s="270" t="s">
        <v>18</v>
      </c>
      <c r="P6" s="271"/>
      <c r="Q6" s="273"/>
      <c r="R6" s="270" t="s">
        <v>19</v>
      </c>
      <c r="S6" s="271"/>
      <c r="T6" s="273"/>
      <c r="U6" s="270" t="s">
        <v>20</v>
      </c>
      <c r="V6" s="271"/>
      <c r="W6" s="273"/>
      <c r="X6" s="270" t="s">
        <v>21</v>
      </c>
      <c r="Y6" s="271"/>
      <c r="Z6" s="273"/>
      <c r="AA6" s="348"/>
      <c r="AB6" s="349"/>
      <c r="AC6" s="349"/>
      <c r="AD6" s="349"/>
      <c r="AE6" s="349"/>
      <c r="AF6" s="349"/>
      <c r="AG6" s="1"/>
      <c r="AH6" s="1"/>
    </row>
    <row r="7" spans="1:34" ht="24.6" customHeight="1">
      <c r="A7" s="223" t="s">
        <v>5</v>
      </c>
      <c r="B7" s="226">
        <v>3</v>
      </c>
      <c r="C7" s="42">
        <v>11</v>
      </c>
      <c r="D7" s="54">
        <v>22.989799999999999</v>
      </c>
      <c r="E7" s="237" t="s">
        <v>135</v>
      </c>
      <c r="F7" s="2">
        <v>12</v>
      </c>
      <c r="G7" s="59">
        <v>24.312000000000001</v>
      </c>
      <c r="H7" s="237" t="s">
        <v>152</v>
      </c>
      <c r="I7" s="69">
        <v>13</v>
      </c>
      <c r="J7" s="67">
        <v>26.9815</v>
      </c>
      <c r="K7" s="272" t="s">
        <v>162</v>
      </c>
      <c r="L7" s="64">
        <v>14</v>
      </c>
      <c r="M7" s="67">
        <v>28.085999999999999</v>
      </c>
      <c r="N7" s="272" t="s">
        <v>172</v>
      </c>
      <c r="O7" s="64">
        <v>15</v>
      </c>
      <c r="P7" s="67">
        <v>30.973800000000001</v>
      </c>
      <c r="Q7" s="272" t="s">
        <v>178</v>
      </c>
      <c r="R7" s="64">
        <v>16</v>
      </c>
      <c r="S7" s="67">
        <v>32.064</v>
      </c>
      <c r="T7" s="272" t="s">
        <v>196</v>
      </c>
      <c r="U7" s="64">
        <v>17</v>
      </c>
      <c r="V7" s="67">
        <v>35.453000000000003</v>
      </c>
      <c r="W7" s="272" t="s">
        <v>143</v>
      </c>
      <c r="X7" s="64">
        <v>18</v>
      </c>
      <c r="Y7" s="67">
        <v>39.948</v>
      </c>
      <c r="Z7" s="272" t="s">
        <v>213</v>
      </c>
      <c r="AA7" s="348"/>
      <c r="AB7" s="349"/>
      <c r="AC7" s="349"/>
      <c r="AD7" s="349"/>
      <c r="AE7" s="349"/>
      <c r="AF7" s="349"/>
      <c r="AG7" s="1"/>
      <c r="AH7" s="1"/>
    </row>
    <row r="8" spans="1:34" ht="19.149999999999999" customHeight="1" thickBot="1">
      <c r="A8" s="224"/>
      <c r="B8" s="227"/>
      <c r="C8" s="230" t="s">
        <v>22</v>
      </c>
      <c r="D8" s="231"/>
      <c r="E8" s="238"/>
      <c r="F8" s="230" t="s">
        <v>23</v>
      </c>
      <c r="G8" s="231"/>
      <c r="H8" s="238"/>
      <c r="I8" s="270" t="s">
        <v>24</v>
      </c>
      <c r="J8" s="271"/>
      <c r="K8" s="273"/>
      <c r="L8" s="270" t="s">
        <v>25</v>
      </c>
      <c r="M8" s="271"/>
      <c r="N8" s="273"/>
      <c r="O8" s="270" t="s">
        <v>26</v>
      </c>
      <c r="P8" s="271"/>
      <c r="Q8" s="273"/>
      <c r="R8" s="270" t="s">
        <v>27</v>
      </c>
      <c r="S8" s="271"/>
      <c r="T8" s="273"/>
      <c r="U8" s="270" t="s">
        <v>28</v>
      </c>
      <c r="V8" s="271"/>
      <c r="W8" s="273"/>
      <c r="X8" s="332" t="s">
        <v>270</v>
      </c>
      <c r="Y8" s="333"/>
      <c r="Z8" s="273"/>
      <c r="AA8" s="343"/>
      <c r="AB8" s="344"/>
      <c r="AC8" s="344"/>
      <c r="AD8" s="344"/>
      <c r="AE8" s="344"/>
      <c r="AF8" s="344"/>
      <c r="AG8" s="1"/>
      <c r="AH8" s="1"/>
    </row>
    <row r="9" spans="1:34" ht="24.6" customHeight="1">
      <c r="A9" s="256" t="s">
        <v>6</v>
      </c>
      <c r="B9" s="226">
        <v>4</v>
      </c>
      <c r="C9" s="2">
        <v>19</v>
      </c>
      <c r="D9" s="51">
        <v>39.101999999999997</v>
      </c>
      <c r="E9" s="251" t="s">
        <v>136</v>
      </c>
      <c r="F9" s="47">
        <v>20</v>
      </c>
      <c r="G9" s="40">
        <v>40.08</v>
      </c>
      <c r="H9" s="237" t="s">
        <v>153</v>
      </c>
      <c r="I9" s="70">
        <v>21</v>
      </c>
      <c r="J9" s="43">
        <v>44.956000000000003</v>
      </c>
      <c r="K9" s="274" t="s">
        <v>163</v>
      </c>
      <c r="L9" s="3">
        <v>22</v>
      </c>
      <c r="M9" s="43">
        <v>47.9</v>
      </c>
      <c r="N9" s="274" t="s">
        <v>173</v>
      </c>
      <c r="O9" s="3">
        <v>23</v>
      </c>
      <c r="P9" s="43">
        <v>50.942</v>
      </c>
      <c r="Q9" s="274" t="s">
        <v>7</v>
      </c>
      <c r="R9" s="43">
        <v>24</v>
      </c>
      <c r="S9" s="43">
        <v>51.996000000000002</v>
      </c>
      <c r="T9" s="274" t="s">
        <v>197</v>
      </c>
      <c r="U9" s="3">
        <v>25</v>
      </c>
      <c r="V9" s="43">
        <v>54.938000000000002</v>
      </c>
      <c r="W9" s="274" t="s">
        <v>205</v>
      </c>
      <c r="X9" s="3">
        <v>26</v>
      </c>
      <c r="Y9" s="43">
        <v>55.847000000000001</v>
      </c>
      <c r="Z9" s="274" t="s">
        <v>214</v>
      </c>
      <c r="AA9" s="3">
        <v>27</v>
      </c>
      <c r="AB9" s="43">
        <v>58.933199999999999</v>
      </c>
      <c r="AC9" s="274" t="s">
        <v>271</v>
      </c>
      <c r="AD9" s="3">
        <v>28</v>
      </c>
      <c r="AE9" s="43">
        <v>58.71</v>
      </c>
      <c r="AF9" s="274" t="s">
        <v>275</v>
      </c>
      <c r="AG9" s="1"/>
      <c r="AH9" s="1"/>
    </row>
    <row r="10" spans="1:34" ht="15" customHeight="1" thickBot="1">
      <c r="A10" s="257"/>
      <c r="B10" s="227"/>
      <c r="C10" s="230" t="s">
        <v>29</v>
      </c>
      <c r="D10" s="231"/>
      <c r="E10" s="252"/>
      <c r="F10" s="230" t="s">
        <v>30</v>
      </c>
      <c r="G10" s="231"/>
      <c r="H10" s="238"/>
      <c r="I10" s="261" t="s">
        <v>160</v>
      </c>
      <c r="J10" s="319"/>
      <c r="K10" s="275"/>
      <c r="L10" s="261" t="s">
        <v>170</v>
      </c>
      <c r="M10" s="262"/>
      <c r="N10" s="275"/>
      <c r="O10" s="261" t="s">
        <v>186</v>
      </c>
      <c r="P10" s="262"/>
      <c r="Q10" s="275"/>
      <c r="R10" s="261" t="s">
        <v>194</v>
      </c>
      <c r="S10" s="262"/>
      <c r="T10" s="275"/>
      <c r="U10" s="261" t="s">
        <v>221</v>
      </c>
      <c r="V10" s="262"/>
      <c r="W10" s="275"/>
      <c r="X10" s="261" t="s">
        <v>223</v>
      </c>
      <c r="Y10" s="262"/>
      <c r="Z10" s="275"/>
      <c r="AA10" s="261" t="s">
        <v>278</v>
      </c>
      <c r="AB10" s="262"/>
      <c r="AC10" s="275"/>
      <c r="AD10" s="261" t="s">
        <v>284</v>
      </c>
      <c r="AE10" s="262"/>
      <c r="AF10" s="275"/>
      <c r="AG10" s="1"/>
      <c r="AH10" s="1"/>
    </row>
    <row r="11" spans="1:34" ht="24.6" customHeight="1">
      <c r="A11" s="257"/>
      <c r="B11" s="226">
        <v>5</v>
      </c>
      <c r="C11" s="45">
        <v>29</v>
      </c>
      <c r="D11" s="52">
        <v>63.545999999999999</v>
      </c>
      <c r="E11" s="250" t="s">
        <v>137</v>
      </c>
      <c r="F11" s="3">
        <v>30</v>
      </c>
      <c r="G11" s="61">
        <v>65.37</v>
      </c>
      <c r="H11" s="253" t="s">
        <v>154</v>
      </c>
      <c r="I11" s="69">
        <v>31</v>
      </c>
      <c r="J11" s="67">
        <v>69.72</v>
      </c>
      <c r="K11" s="272" t="s">
        <v>164</v>
      </c>
      <c r="L11" s="64">
        <v>32</v>
      </c>
      <c r="M11" s="67">
        <v>72.59</v>
      </c>
      <c r="N11" s="272" t="s">
        <v>174</v>
      </c>
      <c r="O11" s="64">
        <v>33</v>
      </c>
      <c r="P11" s="67">
        <v>72.921000000000006</v>
      </c>
      <c r="Q11" s="272" t="s">
        <v>188</v>
      </c>
      <c r="R11" s="64">
        <v>34</v>
      </c>
      <c r="S11" s="67">
        <v>78.959999999999994</v>
      </c>
      <c r="T11" s="272" t="s">
        <v>198</v>
      </c>
      <c r="U11" s="64">
        <v>35</v>
      </c>
      <c r="V11" s="67">
        <v>79.903999999999996</v>
      </c>
      <c r="W11" s="272" t="s">
        <v>206</v>
      </c>
      <c r="X11" s="64">
        <v>36</v>
      </c>
      <c r="Y11" s="67">
        <v>83.8</v>
      </c>
      <c r="Z11" s="272" t="s">
        <v>215</v>
      </c>
      <c r="AA11" s="340"/>
      <c r="AB11" s="341"/>
      <c r="AC11" s="341"/>
      <c r="AD11" s="341"/>
      <c r="AE11" s="341"/>
      <c r="AF11" s="342"/>
      <c r="AG11" s="1"/>
      <c r="AH11" s="1"/>
    </row>
    <row r="12" spans="1:34" ht="15" customHeight="1" thickBot="1">
      <c r="A12" s="258"/>
      <c r="B12" s="227"/>
      <c r="C12" s="255" t="s">
        <v>233</v>
      </c>
      <c r="D12" s="231"/>
      <c r="E12" s="229"/>
      <c r="F12" s="255" t="s">
        <v>239</v>
      </c>
      <c r="G12" s="231"/>
      <c r="H12" s="254"/>
      <c r="I12" s="270" t="s">
        <v>245</v>
      </c>
      <c r="J12" s="271"/>
      <c r="K12" s="273"/>
      <c r="L12" s="270" t="s">
        <v>251</v>
      </c>
      <c r="M12" s="271"/>
      <c r="N12" s="273"/>
      <c r="O12" s="270" t="s">
        <v>257</v>
      </c>
      <c r="P12" s="271"/>
      <c r="Q12" s="273"/>
      <c r="R12" s="270" t="s">
        <v>262</v>
      </c>
      <c r="S12" s="271"/>
      <c r="T12" s="273"/>
      <c r="U12" s="270" t="s">
        <v>31</v>
      </c>
      <c r="V12" s="271"/>
      <c r="W12" s="273"/>
      <c r="X12" s="270" t="s">
        <v>224</v>
      </c>
      <c r="Y12" s="271"/>
      <c r="Z12" s="273"/>
      <c r="AA12" s="343"/>
      <c r="AB12" s="344"/>
      <c r="AC12" s="344"/>
      <c r="AD12" s="344"/>
      <c r="AE12" s="344"/>
      <c r="AF12" s="345"/>
      <c r="AG12" s="1"/>
      <c r="AH12" s="1"/>
    </row>
    <row r="13" spans="1:34" ht="24.6" customHeight="1">
      <c r="A13" s="256" t="s">
        <v>7</v>
      </c>
      <c r="B13" s="226">
        <v>6</v>
      </c>
      <c r="C13" s="2">
        <v>37</v>
      </c>
      <c r="D13" s="51">
        <v>85.47</v>
      </c>
      <c r="E13" s="248" t="s">
        <v>141</v>
      </c>
      <c r="F13" s="47">
        <v>38</v>
      </c>
      <c r="G13" s="40">
        <v>87.62</v>
      </c>
      <c r="H13" s="237" t="s">
        <v>155</v>
      </c>
      <c r="I13" s="70">
        <v>39</v>
      </c>
      <c r="J13" s="43">
        <v>88.905000000000001</v>
      </c>
      <c r="K13" s="274" t="s">
        <v>165</v>
      </c>
      <c r="L13" s="3">
        <v>40</v>
      </c>
      <c r="M13" s="43">
        <v>91.22</v>
      </c>
      <c r="N13" s="274" t="s">
        <v>175</v>
      </c>
      <c r="O13" s="3">
        <v>41</v>
      </c>
      <c r="P13" s="43">
        <v>92.906000000000006</v>
      </c>
      <c r="Q13" s="274" t="s">
        <v>189</v>
      </c>
      <c r="R13" s="3">
        <v>42</v>
      </c>
      <c r="S13" s="43">
        <v>95.94</v>
      </c>
      <c r="T13" s="274" t="s">
        <v>199</v>
      </c>
      <c r="U13" s="3">
        <v>43</v>
      </c>
      <c r="V13" s="43">
        <v>99</v>
      </c>
      <c r="W13" s="274" t="s">
        <v>207</v>
      </c>
      <c r="X13" s="3">
        <v>44</v>
      </c>
      <c r="Y13" s="43">
        <v>101.07</v>
      </c>
      <c r="Z13" s="274" t="s">
        <v>216</v>
      </c>
      <c r="AA13" s="3">
        <v>45</v>
      </c>
      <c r="AB13" s="43">
        <v>102.9</v>
      </c>
      <c r="AC13" s="274" t="s">
        <v>272</v>
      </c>
      <c r="AD13" s="3">
        <v>46</v>
      </c>
      <c r="AE13" s="43">
        <v>106.4</v>
      </c>
      <c r="AF13" s="274" t="s">
        <v>276</v>
      </c>
      <c r="AG13" s="1"/>
      <c r="AH13" s="1"/>
    </row>
    <row r="14" spans="1:34" ht="15" customHeight="1" thickBot="1">
      <c r="A14" s="257"/>
      <c r="B14" s="227"/>
      <c r="C14" s="230" t="s">
        <v>234</v>
      </c>
      <c r="D14" s="231"/>
      <c r="E14" s="249"/>
      <c r="F14" s="230" t="s">
        <v>240</v>
      </c>
      <c r="G14" s="231"/>
      <c r="H14" s="238"/>
      <c r="I14" s="261" t="s">
        <v>246</v>
      </c>
      <c r="J14" s="262"/>
      <c r="K14" s="275"/>
      <c r="L14" s="261" t="s">
        <v>252</v>
      </c>
      <c r="M14" s="262"/>
      <c r="N14" s="275"/>
      <c r="O14" s="261" t="s">
        <v>258</v>
      </c>
      <c r="P14" s="262"/>
      <c r="Q14" s="275"/>
      <c r="R14" s="261" t="s">
        <v>263</v>
      </c>
      <c r="S14" s="262"/>
      <c r="T14" s="275"/>
      <c r="U14" s="261" t="s">
        <v>222</v>
      </c>
      <c r="V14" s="262"/>
      <c r="W14" s="275"/>
      <c r="X14" s="261" t="s">
        <v>225</v>
      </c>
      <c r="Y14" s="262"/>
      <c r="Z14" s="275"/>
      <c r="AA14" s="261" t="s">
        <v>279</v>
      </c>
      <c r="AB14" s="262"/>
      <c r="AC14" s="275"/>
      <c r="AD14" s="261" t="s">
        <v>282</v>
      </c>
      <c r="AE14" s="262"/>
      <c r="AF14" s="275"/>
      <c r="AG14" s="1"/>
      <c r="AH14" s="1"/>
    </row>
    <row r="15" spans="1:34" ht="24.6" customHeight="1">
      <c r="A15" s="257"/>
      <c r="B15" s="226">
        <v>7</v>
      </c>
      <c r="C15" s="48">
        <v>47</v>
      </c>
      <c r="D15" s="53">
        <v>107.86</v>
      </c>
      <c r="E15" s="253" t="s">
        <v>140</v>
      </c>
      <c r="F15" s="3">
        <v>48</v>
      </c>
      <c r="G15" s="62">
        <v>112.4</v>
      </c>
      <c r="H15" s="253" t="s">
        <v>156</v>
      </c>
      <c r="I15" s="69">
        <v>49</v>
      </c>
      <c r="J15" s="67">
        <v>114.82</v>
      </c>
      <c r="K15" s="272" t="s">
        <v>166</v>
      </c>
      <c r="L15" s="64">
        <v>50</v>
      </c>
      <c r="M15" s="67">
        <v>118.69</v>
      </c>
      <c r="N15" s="272" t="s">
        <v>176</v>
      </c>
      <c r="O15" s="64">
        <v>51</v>
      </c>
      <c r="P15" s="67">
        <v>121.75</v>
      </c>
      <c r="Q15" s="272" t="s">
        <v>190</v>
      </c>
      <c r="R15" s="64">
        <v>52</v>
      </c>
      <c r="S15" s="67">
        <v>127.6</v>
      </c>
      <c r="T15" s="272" t="s">
        <v>200</v>
      </c>
      <c r="U15" s="64">
        <v>53</v>
      </c>
      <c r="V15" s="67">
        <v>126.9</v>
      </c>
      <c r="W15" s="272" t="s">
        <v>3</v>
      </c>
      <c r="X15" s="64">
        <v>54</v>
      </c>
      <c r="Y15" s="67">
        <v>131.30000000000001</v>
      </c>
      <c r="Z15" s="272" t="s">
        <v>217</v>
      </c>
      <c r="AA15" s="340"/>
      <c r="AB15" s="341"/>
      <c r="AC15" s="341"/>
      <c r="AD15" s="341"/>
      <c r="AE15" s="341"/>
      <c r="AF15" s="342"/>
      <c r="AG15" s="1"/>
      <c r="AH15" s="1"/>
    </row>
    <row r="16" spans="1:34" ht="15" customHeight="1" thickBot="1">
      <c r="A16" s="258"/>
      <c r="B16" s="227"/>
      <c r="C16" s="255" t="s">
        <v>235</v>
      </c>
      <c r="D16" s="231"/>
      <c r="E16" s="254"/>
      <c r="F16" s="255" t="s">
        <v>241</v>
      </c>
      <c r="G16" s="231"/>
      <c r="H16" s="254"/>
      <c r="I16" s="270" t="s">
        <v>247</v>
      </c>
      <c r="J16" s="271"/>
      <c r="K16" s="273"/>
      <c r="L16" s="270" t="s">
        <v>253</v>
      </c>
      <c r="M16" s="271"/>
      <c r="N16" s="273"/>
      <c r="O16" s="270" t="s">
        <v>259</v>
      </c>
      <c r="P16" s="271"/>
      <c r="Q16" s="273"/>
      <c r="R16" s="270" t="s">
        <v>264</v>
      </c>
      <c r="S16" s="271"/>
      <c r="T16" s="273"/>
      <c r="U16" s="270" t="s">
        <v>266</v>
      </c>
      <c r="V16" s="271"/>
      <c r="W16" s="273"/>
      <c r="X16" s="270" t="s">
        <v>226</v>
      </c>
      <c r="Y16" s="271"/>
      <c r="Z16" s="273"/>
      <c r="AA16" s="343"/>
      <c r="AB16" s="344"/>
      <c r="AC16" s="344"/>
      <c r="AD16" s="344"/>
      <c r="AE16" s="344"/>
      <c r="AF16" s="345"/>
      <c r="AG16" s="1"/>
      <c r="AH16" s="1"/>
    </row>
    <row r="17" spans="1:34" ht="24.6" customHeight="1">
      <c r="A17" s="223" t="s">
        <v>8</v>
      </c>
      <c r="B17" s="226">
        <v>8</v>
      </c>
      <c r="C17" s="38">
        <v>55</v>
      </c>
      <c r="D17" s="51">
        <v>132.96</v>
      </c>
      <c r="E17" s="268" t="s">
        <v>139</v>
      </c>
      <c r="F17" s="4">
        <v>56</v>
      </c>
      <c r="G17" s="63">
        <v>137.34</v>
      </c>
      <c r="H17" s="237" t="s">
        <v>157</v>
      </c>
      <c r="I17" s="70">
        <v>57</v>
      </c>
      <c r="J17" s="43">
        <v>138.80000000000001</v>
      </c>
      <c r="K17" s="274" t="s">
        <v>167</v>
      </c>
      <c r="L17" s="3">
        <v>72</v>
      </c>
      <c r="M17" s="43">
        <v>178.49</v>
      </c>
      <c r="N17" s="274" t="s">
        <v>177</v>
      </c>
      <c r="O17" s="3">
        <v>73</v>
      </c>
      <c r="P17" s="43">
        <v>180.94</v>
      </c>
      <c r="Q17" s="274" t="s">
        <v>191</v>
      </c>
      <c r="R17" s="3">
        <v>74</v>
      </c>
      <c r="S17" s="43">
        <v>183.85</v>
      </c>
      <c r="T17" s="77" t="s">
        <v>201</v>
      </c>
      <c r="U17" s="3">
        <v>75</v>
      </c>
      <c r="V17" s="43">
        <v>186.2</v>
      </c>
      <c r="W17" s="274" t="s">
        <v>208</v>
      </c>
      <c r="X17" s="3">
        <v>76</v>
      </c>
      <c r="Y17" s="43">
        <v>190.2</v>
      </c>
      <c r="Z17" s="274" t="s">
        <v>218</v>
      </c>
      <c r="AA17" s="3">
        <v>77</v>
      </c>
      <c r="AB17" s="43">
        <v>192.2</v>
      </c>
      <c r="AC17" s="274" t="s">
        <v>273</v>
      </c>
      <c r="AD17" s="3">
        <v>78</v>
      </c>
      <c r="AE17" s="43">
        <v>195.09</v>
      </c>
      <c r="AF17" s="274" t="s">
        <v>277</v>
      </c>
      <c r="AG17" s="1"/>
      <c r="AH17" s="1"/>
    </row>
    <row r="18" spans="1:34" ht="15" customHeight="1" thickBot="1">
      <c r="A18" s="224"/>
      <c r="B18" s="227"/>
      <c r="C18" s="230" t="s">
        <v>236</v>
      </c>
      <c r="D18" s="231"/>
      <c r="E18" s="269"/>
      <c r="F18" s="230" t="s">
        <v>242</v>
      </c>
      <c r="G18" s="231"/>
      <c r="H18" s="238"/>
      <c r="I18" s="261" t="s">
        <v>248</v>
      </c>
      <c r="J18" s="262"/>
      <c r="K18" s="275"/>
      <c r="L18" s="261" t="s">
        <v>254</v>
      </c>
      <c r="M18" s="262"/>
      <c r="N18" s="275"/>
      <c r="O18" s="261" t="s">
        <v>260</v>
      </c>
      <c r="P18" s="262"/>
      <c r="Q18" s="275"/>
      <c r="R18" s="46" t="s">
        <v>232</v>
      </c>
      <c r="S18" s="79"/>
      <c r="T18" s="78"/>
      <c r="U18" s="261" t="s">
        <v>267</v>
      </c>
      <c r="V18" s="262"/>
      <c r="W18" s="275"/>
      <c r="X18" s="261" t="s">
        <v>227</v>
      </c>
      <c r="Y18" s="262"/>
      <c r="Z18" s="275"/>
      <c r="AA18" s="261" t="s">
        <v>280</v>
      </c>
      <c r="AB18" s="262"/>
      <c r="AC18" s="275"/>
      <c r="AD18" s="261" t="s">
        <v>283</v>
      </c>
      <c r="AE18" s="262"/>
      <c r="AF18" s="275"/>
      <c r="AG18" s="1"/>
      <c r="AH18" s="1"/>
    </row>
    <row r="19" spans="1:34" ht="24.6" customHeight="1">
      <c r="A19" s="223" t="s">
        <v>9</v>
      </c>
      <c r="B19" s="226">
        <v>9</v>
      </c>
      <c r="C19" s="43">
        <v>79</v>
      </c>
      <c r="D19" s="52">
        <v>196.96</v>
      </c>
      <c r="E19" s="259" t="s">
        <v>138</v>
      </c>
      <c r="F19" s="3">
        <v>80</v>
      </c>
      <c r="G19" s="62">
        <v>200.5</v>
      </c>
      <c r="H19" s="253" t="s">
        <v>158</v>
      </c>
      <c r="I19" s="69">
        <v>81</v>
      </c>
      <c r="J19" s="67">
        <v>204.37</v>
      </c>
      <c r="K19" s="272" t="s">
        <v>168</v>
      </c>
      <c r="L19" s="64">
        <v>82</v>
      </c>
      <c r="M19" s="67">
        <v>207.19</v>
      </c>
      <c r="N19" s="272" t="s">
        <v>178</v>
      </c>
      <c r="O19" s="64">
        <v>83</v>
      </c>
      <c r="P19" s="67">
        <v>108.98</v>
      </c>
      <c r="Q19" s="272" t="s">
        <v>192</v>
      </c>
      <c r="R19" s="64">
        <v>84</v>
      </c>
      <c r="S19" s="67">
        <v>210</v>
      </c>
      <c r="T19" s="272" t="s">
        <v>202</v>
      </c>
      <c r="U19" s="64">
        <v>85</v>
      </c>
      <c r="V19" s="67">
        <v>210</v>
      </c>
      <c r="W19" s="272" t="s">
        <v>209</v>
      </c>
      <c r="X19" s="64">
        <v>86</v>
      </c>
      <c r="Y19" s="67">
        <v>222</v>
      </c>
      <c r="Z19" s="272" t="s">
        <v>219</v>
      </c>
      <c r="AA19" s="346"/>
      <c r="AB19" s="296"/>
      <c r="AC19" s="296"/>
      <c r="AD19" s="296"/>
      <c r="AE19" s="296"/>
      <c r="AF19" s="296"/>
      <c r="AG19" s="1"/>
      <c r="AH19" s="1"/>
    </row>
    <row r="20" spans="1:34" ht="15" customHeight="1" thickBot="1">
      <c r="A20" s="224"/>
      <c r="B20" s="227"/>
      <c r="C20" s="255" t="s">
        <v>237</v>
      </c>
      <c r="D20" s="231"/>
      <c r="E20" s="260"/>
      <c r="F20" s="255" t="s">
        <v>243</v>
      </c>
      <c r="G20" s="231"/>
      <c r="H20" s="254"/>
      <c r="I20" s="270" t="s">
        <v>249</v>
      </c>
      <c r="J20" s="271"/>
      <c r="K20" s="273"/>
      <c r="L20" s="270" t="s">
        <v>255</v>
      </c>
      <c r="M20" s="271"/>
      <c r="N20" s="273"/>
      <c r="O20" s="270" t="s">
        <v>261</v>
      </c>
      <c r="P20" s="271"/>
      <c r="Q20" s="273"/>
      <c r="R20" s="270" t="s">
        <v>265</v>
      </c>
      <c r="S20" s="271"/>
      <c r="T20" s="273"/>
      <c r="U20" s="270" t="s">
        <v>268</v>
      </c>
      <c r="V20" s="271"/>
      <c r="W20" s="273"/>
      <c r="X20" s="270" t="s">
        <v>228</v>
      </c>
      <c r="Y20" s="271"/>
      <c r="Z20" s="273"/>
      <c r="AA20" s="347"/>
      <c r="AB20" s="308"/>
      <c r="AC20" s="308"/>
      <c r="AD20" s="308"/>
      <c r="AE20" s="308"/>
      <c r="AF20" s="308"/>
      <c r="AG20" s="1"/>
      <c r="AH20" s="1"/>
    </row>
    <row r="21" spans="1:34" ht="24.6" customHeight="1">
      <c r="A21" s="223" t="s">
        <v>10</v>
      </c>
      <c r="B21" s="226">
        <v>10</v>
      </c>
      <c r="C21" s="49">
        <v>87</v>
      </c>
      <c r="D21" s="51">
        <v>223</v>
      </c>
      <c r="E21" s="328" t="s">
        <v>142</v>
      </c>
      <c r="F21" s="47">
        <v>88</v>
      </c>
      <c r="G21" s="60">
        <v>226</v>
      </c>
      <c r="H21" s="237" t="s">
        <v>159</v>
      </c>
      <c r="I21" s="70">
        <v>89</v>
      </c>
      <c r="J21" s="43">
        <v>227</v>
      </c>
      <c r="K21" s="274" t="s">
        <v>169</v>
      </c>
      <c r="L21" s="3">
        <v>104</v>
      </c>
      <c r="M21" s="43">
        <v>261</v>
      </c>
      <c r="N21" s="274" t="s">
        <v>179</v>
      </c>
      <c r="O21" s="3">
        <v>105</v>
      </c>
      <c r="P21" s="43">
        <v>262</v>
      </c>
      <c r="Q21" s="274" t="s">
        <v>193</v>
      </c>
      <c r="R21" s="3">
        <v>106</v>
      </c>
      <c r="S21" s="43">
        <v>263</v>
      </c>
      <c r="T21" s="77" t="s">
        <v>203</v>
      </c>
      <c r="U21" s="3">
        <v>107</v>
      </c>
      <c r="V21" s="43">
        <v>262</v>
      </c>
      <c r="W21" s="274" t="s">
        <v>210</v>
      </c>
      <c r="X21" s="3">
        <v>108</v>
      </c>
      <c r="Y21" s="43">
        <v>265</v>
      </c>
      <c r="Z21" s="274" t="s">
        <v>220</v>
      </c>
      <c r="AA21" s="3">
        <v>109</v>
      </c>
      <c r="AB21" s="43">
        <v>266</v>
      </c>
      <c r="AC21" s="274" t="s">
        <v>274</v>
      </c>
      <c r="AD21" s="80">
        <v>110</v>
      </c>
      <c r="AE21" s="43"/>
      <c r="AF21" s="274"/>
      <c r="AG21" s="263"/>
      <c r="AH21" s="1"/>
    </row>
    <row r="22" spans="1:34" ht="19.149999999999999" customHeight="1" thickBot="1">
      <c r="A22" s="224"/>
      <c r="B22" s="227"/>
      <c r="C22" s="230" t="s">
        <v>238</v>
      </c>
      <c r="D22" s="231"/>
      <c r="E22" s="329"/>
      <c r="F22" s="230" t="s">
        <v>244</v>
      </c>
      <c r="G22" s="231"/>
      <c r="H22" s="238"/>
      <c r="I22" s="261" t="s">
        <v>250</v>
      </c>
      <c r="J22" s="262"/>
      <c r="K22" s="275"/>
      <c r="L22" s="261" t="s">
        <v>256</v>
      </c>
      <c r="M22" s="262"/>
      <c r="N22" s="275"/>
      <c r="O22" s="261" t="s">
        <v>230</v>
      </c>
      <c r="P22" s="262"/>
      <c r="Q22" s="275"/>
      <c r="R22" s="46" t="s">
        <v>231</v>
      </c>
      <c r="S22" s="79"/>
      <c r="T22" s="78"/>
      <c r="U22" s="261" t="s">
        <v>269</v>
      </c>
      <c r="V22" s="262"/>
      <c r="W22" s="275"/>
      <c r="X22" s="261" t="s">
        <v>229</v>
      </c>
      <c r="Y22" s="262"/>
      <c r="Z22" s="275"/>
      <c r="AA22" s="261" t="s">
        <v>281</v>
      </c>
      <c r="AB22" s="262"/>
      <c r="AC22" s="275"/>
      <c r="AD22" s="81"/>
      <c r="AE22" s="44"/>
      <c r="AF22" s="275"/>
      <c r="AG22" s="263"/>
      <c r="AH22" s="1"/>
    </row>
    <row r="23" spans="1:34" ht="14.45" customHeight="1">
      <c r="A23" s="264" t="s">
        <v>32</v>
      </c>
      <c r="B23" s="265"/>
      <c r="C23" s="295" t="s">
        <v>33</v>
      </c>
      <c r="D23" s="296"/>
      <c r="E23" s="297"/>
      <c r="F23" s="289" t="s">
        <v>34</v>
      </c>
      <c r="G23" s="296"/>
      <c r="H23" s="297"/>
      <c r="I23" s="289" t="s">
        <v>35</v>
      </c>
      <c r="J23" s="296"/>
      <c r="K23" s="297"/>
      <c r="L23" s="289" t="s">
        <v>36</v>
      </c>
      <c r="M23" s="296"/>
      <c r="N23" s="297"/>
      <c r="O23" s="289" t="s">
        <v>37</v>
      </c>
      <c r="P23" s="290"/>
      <c r="Q23" s="291"/>
      <c r="R23" s="281" t="s">
        <v>38</v>
      </c>
      <c r="S23" s="282"/>
      <c r="T23" s="283"/>
      <c r="U23" s="289" t="s">
        <v>39</v>
      </c>
      <c r="V23" s="290"/>
      <c r="W23" s="291"/>
      <c r="X23" s="289" t="s">
        <v>38</v>
      </c>
      <c r="Y23" s="290"/>
      <c r="Z23" s="290"/>
      <c r="AA23" s="290"/>
      <c r="AB23" s="290"/>
      <c r="AC23" s="290"/>
      <c r="AD23" s="290"/>
      <c r="AE23" s="290"/>
      <c r="AF23" s="290"/>
      <c r="AG23" s="1"/>
      <c r="AH23" s="1"/>
    </row>
    <row r="24" spans="1:34" ht="15" customHeight="1" thickBot="1">
      <c r="A24" s="266"/>
      <c r="B24" s="267"/>
      <c r="C24" s="298"/>
      <c r="D24" s="299"/>
      <c r="E24" s="300"/>
      <c r="F24" s="292"/>
      <c r="G24" s="299"/>
      <c r="H24" s="300"/>
      <c r="I24" s="292"/>
      <c r="J24" s="299"/>
      <c r="K24" s="300"/>
      <c r="L24" s="292"/>
      <c r="M24" s="299"/>
      <c r="N24" s="300"/>
      <c r="O24" s="292"/>
      <c r="P24" s="293"/>
      <c r="Q24" s="294"/>
      <c r="R24" s="292"/>
      <c r="S24" s="293"/>
      <c r="T24" s="294"/>
      <c r="U24" s="292"/>
      <c r="V24" s="293"/>
      <c r="W24" s="294"/>
      <c r="X24" s="281"/>
      <c r="Y24" s="282"/>
      <c r="Z24" s="282"/>
      <c r="AA24" s="282"/>
      <c r="AB24" s="282"/>
      <c r="AC24" s="282"/>
      <c r="AD24" s="282"/>
      <c r="AE24" s="282"/>
      <c r="AF24" s="282"/>
      <c r="AG24" s="1"/>
      <c r="AH24" s="1"/>
    </row>
    <row r="25" spans="1:34" ht="19.899999999999999" customHeight="1">
      <c r="A25" s="276" t="s">
        <v>40</v>
      </c>
      <c r="B25" s="277"/>
      <c r="C25" s="301"/>
      <c r="D25" s="302"/>
      <c r="E25" s="303"/>
      <c r="F25" s="320"/>
      <c r="G25" s="302"/>
      <c r="H25" s="303"/>
      <c r="I25" s="323"/>
      <c r="J25" s="302"/>
      <c r="K25" s="303"/>
      <c r="L25" s="278" t="s">
        <v>41</v>
      </c>
      <c r="M25" s="302"/>
      <c r="N25" s="303"/>
      <c r="O25" s="278" t="s">
        <v>42</v>
      </c>
      <c r="P25" s="279"/>
      <c r="Q25" s="280"/>
      <c r="R25" s="278" t="s">
        <v>43</v>
      </c>
      <c r="S25" s="279"/>
      <c r="T25" s="280"/>
      <c r="U25" s="278" t="s">
        <v>44</v>
      </c>
      <c r="V25" s="279"/>
      <c r="W25" s="280"/>
      <c r="X25" s="321"/>
      <c r="Y25" s="330"/>
      <c r="Z25" s="330"/>
      <c r="AA25" s="330"/>
      <c r="AB25" s="330"/>
      <c r="AC25" s="330"/>
      <c r="AD25" s="330"/>
      <c r="AE25" s="330"/>
      <c r="AF25" s="330"/>
      <c r="AG25" s="1"/>
      <c r="AH25" s="1"/>
    </row>
    <row r="26" spans="1:34" ht="19.899999999999999" customHeight="1">
      <c r="A26" s="287" t="s">
        <v>45</v>
      </c>
      <c r="B26" s="288"/>
      <c r="C26" s="304"/>
      <c r="D26" s="305"/>
      <c r="E26" s="306"/>
      <c r="F26" s="321"/>
      <c r="G26" s="305"/>
      <c r="H26" s="306"/>
      <c r="I26" s="324"/>
      <c r="J26" s="305"/>
      <c r="K26" s="306"/>
      <c r="L26" s="321"/>
      <c r="M26" s="305"/>
      <c r="N26" s="306"/>
      <c r="O26" s="281"/>
      <c r="P26" s="282"/>
      <c r="Q26" s="283"/>
      <c r="R26" s="281"/>
      <c r="S26" s="282"/>
      <c r="T26" s="283"/>
      <c r="U26" s="281"/>
      <c r="V26" s="282"/>
      <c r="W26" s="283"/>
      <c r="X26" s="321"/>
      <c r="Y26" s="330"/>
      <c r="Z26" s="330"/>
      <c r="AA26" s="330"/>
      <c r="AB26" s="330"/>
      <c r="AC26" s="330"/>
      <c r="AD26" s="330"/>
      <c r="AE26" s="330"/>
      <c r="AF26" s="330"/>
      <c r="AG26" s="1"/>
      <c r="AH26" s="1"/>
    </row>
    <row r="27" spans="1:34" ht="20.45" customHeight="1" thickBot="1">
      <c r="A27" s="287" t="s">
        <v>46</v>
      </c>
      <c r="B27" s="288"/>
      <c r="C27" s="307"/>
      <c r="D27" s="308"/>
      <c r="E27" s="309"/>
      <c r="F27" s="322"/>
      <c r="G27" s="308"/>
      <c r="H27" s="309"/>
      <c r="I27" s="325"/>
      <c r="J27" s="308"/>
      <c r="K27" s="309"/>
      <c r="L27" s="322"/>
      <c r="M27" s="308"/>
      <c r="N27" s="309"/>
      <c r="O27" s="284"/>
      <c r="P27" s="285"/>
      <c r="Q27" s="286"/>
      <c r="R27" s="284"/>
      <c r="S27" s="285"/>
      <c r="T27" s="286"/>
      <c r="U27" s="284"/>
      <c r="V27" s="285"/>
      <c r="W27" s="286"/>
      <c r="X27" s="322"/>
      <c r="Y27" s="331"/>
      <c r="Z27" s="331"/>
      <c r="AA27" s="331"/>
      <c r="AB27" s="331"/>
      <c r="AC27" s="331"/>
      <c r="AD27" s="331"/>
      <c r="AE27" s="331"/>
      <c r="AF27" s="331"/>
      <c r="AG27" s="1"/>
      <c r="AH27" s="1"/>
    </row>
    <row r="28" spans="1:34" ht="15.75" thickBot="1">
      <c r="A28" s="316" t="s">
        <v>47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8"/>
    </row>
    <row r="29" spans="1:34" ht="27.75">
      <c r="A29" s="5" t="s">
        <v>48</v>
      </c>
      <c r="B29" s="5" t="s">
        <v>49</v>
      </c>
      <c r="C29" s="82">
        <v>60</v>
      </c>
      <c r="D29" s="58">
        <v>144.19999999999999</v>
      </c>
      <c r="E29" s="326" t="s">
        <v>180</v>
      </c>
      <c r="F29" s="82">
        <v>61</v>
      </c>
      <c r="G29" s="58">
        <v>145</v>
      </c>
      <c r="H29" s="310" t="s">
        <v>185</v>
      </c>
      <c r="I29" s="82">
        <v>62</v>
      </c>
      <c r="J29" s="58">
        <v>150.35</v>
      </c>
      <c r="K29" s="310" t="s">
        <v>286</v>
      </c>
      <c r="L29" s="82">
        <v>63</v>
      </c>
      <c r="M29" s="58">
        <v>151.96</v>
      </c>
      <c r="N29" s="310" t="s">
        <v>288</v>
      </c>
      <c r="O29" s="82">
        <v>64</v>
      </c>
      <c r="P29" s="58">
        <v>157.25</v>
      </c>
      <c r="Q29" s="310" t="s">
        <v>290</v>
      </c>
      <c r="R29" s="82">
        <v>65</v>
      </c>
      <c r="S29" s="58">
        <v>158.91999999999999</v>
      </c>
      <c r="T29" s="310" t="s">
        <v>292</v>
      </c>
      <c r="U29" s="82">
        <v>66</v>
      </c>
      <c r="V29" s="58">
        <v>162.5</v>
      </c>
      <c r="W29" s="310" t="s">
        <v>294</v>
      </c>
      <c r="X29" s="82">
        <v>67</v>
      </c>
      <c r="Y29" s="58">
        <v>164.93</v>
      </c>
      <c r="Z29" s="310" t="s">
        <v>296</v>
      </c>
      <c r="AA29" s="82">
        <v>68</v>
      </c>
      <c r="AB29" s="58">
        <v>167.26</v>
      </c>
      <c r="AC29" s="310" t="s">
        <v>298</v>
      </c>
      <c r="AD29" s="82">
        <v>69</v>
      </c>
      <c r="AE29" s="58">
        <v>168.93</v>
      </c>
      <c r="AF29" s="310" t="s">
        <v>300</v>
      </c>
      <c r="AG29" s="5" t="s">
        <v>50</v>
      </c>
      <c r="AH29" s="5" t="s">
        <v>51</v>
      </c>
    </row>
    <row r="30" spans="1:34" ht="15" customHeight="1" thickBot="1">
      <c r="A30" s="6" t="s">
        <v>183</v>
      </c>
      <c r="B30" s="6" t="s">
        <v>182</v>
      </c>
      <c r="C30" s="327" t="s">
        <v>52</v>
      </c>
      <c r="D30" s="231"/>
      <c r="E30" s="249"/>
      <c r="F30" s="312" t="s">
        <v>53</v>
      </c>
      <c r="G30" s="313"/>
      <c r="H30" s="311"/>
      <c r="I30" s="312" t="s">
        <v>54</v>
      </c>
      <c r="J30" s="313"/>
      <c r="K30" s="311"/>
      <c r="L30" s="312" t="s">
        <v>55</v>
      </c>
      <c r="M30" s="313"/>
      <c r="N30" s="311"/>
      <c r="O30" s="71" t="s">
        <v>56</v>
      </c>
      <c r="P30" s="75"/>
      <c r="Q30" s="311"/>
      <c r="R30" s="71" t="s">
        <v>57</v>
      </c>
      <c r="S30" s="75"/>
      <c r="T30" s="311"/>
      <c r="U30" s="71" t="s">
        <v>58</v>
      </c>
      <c r="V30" s="75"/>
      <c r="W30" s="311"/>
      <c r="X30" s="6" t="s">
        <v>59</v>
      </c>
      <c r="Y30" s="75"/>
      <c r="Z30" s="311"/>
      <c r="AA30" s="71" t="s">
        <v>60</v>
      </c>
      <c r="AB30" s="75"/>
      <c r="AC30" s="311"/>
      <c r="AD30" s="71" t="s">
        <v>61</v>
      </c>
      <c r="AE30" s="75"/>
      <c r="AF30" s="311"/>
      <c r="AG30" s="6" t="s">
        <v>62</v>
      </c>
      <c r="AH30" s="6" t="s">
        <v>63</v>
      </c>
    </row>
    <row r="31" spans="1:34" ht="15.75" thickBot="1">
      <c r="A31" s="316" t="s">
        <v>64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8"/>
    </row>
    <row r="32" spans="1:34" ht="26.25">
      <c r="A32" s="7" t="s">
        <v>65</v>
      </c>
      <c r="B32" s="7" t="s">
        <v>66</v>
      </c>
      <c r="C32" s="82">
        <v>92</v>
      </c>
      <c r="D32" s="84">
        <v>238.03</v>
      </c>
      <c r="E32" s="310" t="s">
        <v>181</v>
      </c>
      <c r="F32" s="56">
        <v>93</v>
      </c>
      <c r="G32" s="83">
        <v>237</v>
      </c>
      <c r="H32" s="310" t="s">
        <v>285</v>
      </c>
      <c r="I32" s="56">
        <v>94</v>
      </c>
      <c r="J32" s="58">
        <v>242</v>
      </c>
      <c r="K32" s="310" t="s">
        <v>287</v>
      </c>
      <c r="L32" s="56">
        <v>95</v>
      </c>
      <c r="M32" s="58">
        <v>243</v>
      </c>
      <c r="N32" s="310" t="s">
        <v>289</v>
      </c>
      <c r="O32" s="56">
        <v>96</v>
      </c>
      <c r="P32" s="58">
        <v>247</v>
      </c>
      <c r="Q32" s="310" t="s">
        <v>291</v>
      </c>
      <c r="R32" s="56">
        <v>97</v>
      </c>
      <c r="S32" s="58">
        <v>247</v>
      </c>
      <c r="T32" s="310" t="s">
        <v>293</v>
      </c>
      <c r="U32" s="56">
        <v>98</v>
      </c>
      <c r="V32" s="58">
        <v>249</v>
      </c>
      <c r="W32" s="310" t="s">
        <v>295</v>
      </c>
      <c r="X32" s="82">
        <v>99</v>
      </c>
      <c r="Y32" s="58">
        <v>254</v>
      </c>
      <c r="Z32" s="310" t="s">
        <v>297</v>
      </c>
      <c r="AA32" s="56">
        <v>100</v>
      </c>
      <c r="AB32" s="58">
        <v>253</v>
      </c>
      <c r="AC32" s="310" t="s">
        <v>299</v>
      </c>
      <c r="AD32" s="56">
        <v>101</v>
      </c>
      <c r="AE32" s="58">
        <v>256</v>
      </c>
      <c r="AF32" s="310" t="s">
        <v>301</v>
      </c>
      <c r="AG32" s="7" t="s">
        <v>67</v>
      </c>
      <c r="AH32" s="7" t="s">
        <v>68</v>
      </c>
    </row>
    <row r="33" spans="1:34" ht="16.5" thickBot="1">
      <c r="A33" s="8" t="s">
        <v>69</v>
      </c>
      <c r="B33" s="8" t="s">
        <v>184</v>
      </c>
      <c r="C33" s="314" t="s">
        <v>70</v>
      </c>
      <c r="D33" s="315"/>
      <c r="E33" s="311"/>
      <c r="F33" s="314" t="s">
        <v>71</v>
      </c>
      <c r="G33" s="315"/>
      <c r="H33" s="311"/>
      <c r="I33" s="314" t="s">
        <v>72</v>
      </c>
      <c r="J33" s="315"/>
      <c r="K33" s="311"/>
      <c r="L33" s="73" t="s">
        <v>73</v>
      </c>
      <c r="M33" s="74"/>
      <c r="N33" s="311"/>
      <c r="O33" s="72" t="s">
        <v>74</v>
      </c>
      <c r="P33" s="76"/>
      <c r="Q33" s="311"/>
      <c r="R33" s="72" t="s">
        <v>75</v>
      </c>
      <c r="S33" s="76"/>
      <c r="T33" s="311"/>
      <c r="U33" s="72" t="s">
        <v>76</v>
      </c>
      <c r="V33" s="76"/>
      <c r="W33" s="311"/>
      <c r="X33" s="8" t="s">
        <v>77</v>
      </c>
      <c r="Y33" s="76"/>
      <c r="Z33" s="311"/>
      <c r="AA33" s="72" t="s">
        <v>78</v>
      </c>
      <c r="AB33" s="76"/>
      <c r="AC33" s="311"/>
      <c r="AD33" s="72" t="s">
        <v>79</v>
      </c>
      <c r="AE33" s="76"/>
      <c r="AF33" s="311"/>
      <c r="AG33" s="8" t="s">
        <v>80</v>
      </c>
      <c r="AH33" s="8" t="s">
        <v>81</v>
      </c>
    </row>
  </sheetData>
  <mergeCells count="248">
    <mergeCell ref="AA3:AF8"/>
    <mergeCell ref="AF9:AF10"/>
    <mergeCell ref="AF13:AF14"/>
    <mergeCell ref="AF17:AF18"/>
    <mergeCell ref="AC9:AC10"/>
    <mergeCell ref="AC13:AC14"/>
    <mergeCell ref="AA10:AB10"/>
    <mergeCell ref="AD10:AE10"/>
    <mergeCell ref="T29:T30"/>
    <mergeCell ref="T32:T33"/>
    <mergeCell ref="X23:AF24"/>
    <mergeCell ref="AA11:AF12"/>
    <mergeCell ref="AF21:AF22"/>
    <mergeCell ref="AC21:AC22"/>
    <mergeCell ref="Z32:Z33"/>
    <mergeCell ref="AC29:AC30"/>
    <mergeCell ref="AF29:AF30"/>
    <mergeCell ref="AC17:AC18"/>
    <mergeCell ref="AA22:AB22"/>
    <mergeCell ref="AA19:AF20"/>
    <mergeCell ref="AC32:AC33"/>
    <mergeCell ref="X14:Y14"/>
    <mergeCell ref="X18:Y18"/>
    <mergeCell ref="W13:W14"/>
    <mergeCell ref="W17:W18"/>
    <mergeCell ref="W15:W16"/>
    <mergeCell ref="U18:V18"/>
    <mergeCell ref="U14:V14"/>
    <mergeCell ref="N32:N33"/>
    <mergeCell ref="Q29:Q30"/>
    <mergeCell ref="Q32:Q33"/>
    <mergeCell ref="AF32:AF33"/>
    <mergeCell ref="W29:W30"/>
    <mergeCell ref="W32:W33"/>
    <mergeCell ref="Z29:Z30"/>
    <mergeCell ref="Z21:Z22"/>
    <mergeCell ref="AD14:AE14"/>
    <mergeCell ref="AA18:AB18"/>
    <mergeCell ref="AD18:AE18"/>
    <mergeCell ref="Z19:Z20"/>
    <mergeCell ref="Z13:Z14"/>
    <mergeCell ref="AA14:AB14"/>
    <mergeCell ref="AA15:AF16"/>
    <mergeCell ref="X20:Y20"/>
    <mergeCell ref="Z15:Z16"/>
    <mergeCell ref="X16:Y16"/>
    <mergeCell ref="R16:S16"/>
    <mergeCell ref="T15:T16"/>
    <mergeCell ref="X22:Y22"/>
    <mergeCell ref="W19:W20"/>
    <mergeCell ref="W21:W22"/>
    <mergeCell ref="Q17:Q18"/>
    <mergeCell ref="O16:P16"/>
    <mergeCell ref="Z3:Z4"/>
    <mergeCell ref="X4:Y4"/>
    <mergeCell ref="X6:Y6"/>
    <mergeCell ref="X12:Y12"/>
    <mergeCell ref="Z5:Z6"/>
    <mergeCell ref="Z7:Z8"/>
    <mergeCell ref="Z9:Z10"/>
    <mergeCell ref="Z11:Z12"/>
    <mergeCell ref="X8:Y8"/>
    <mergeCell ref="X10:Y10"/>
    <mergeCell ref="U6:V6"/>
    <mergeCell ref="U3:W4"/>
    <mergeCell ref="O3:Q4"/>
    <mergeCell ref="U16:V16"/>
    <mergeCell ref="W5:W6"/>
    <mergeCell ref="W7:W8"/>
    <mergeCell ref="R6:S6"/>
    <mergeCell ref="R3:T4"/>
    <mergeCell ref="O6:P6"/>
    <mergeCell ref="O8:P8"/>
    <mergeCell ref="T5:T6"/>
    <mergeCell ref="T7:T8"/>
    <mergeCell ref="W11:W12"/>
    <mergeCell ref="O12:P12"/>
    <mergeCell ref="R10:S10"/>
    <mergeCell ref="T9:T10"/>
    <mergeCell ref="O10:P10"/>
    <mergeCell ref="U10:V10"/>
    <mergeCell ref="W9:W10"/>
    <mergeCell ref="U8:V8"/>
    <mergeCell ref="U12:V12"/>
    <mergeCell ref="T11:T12"/>
    <mergeCell ref="Q5:Q6"/>
    <mergeCell ref="Q13:Q14"/>
    <mergeCell ref="Q15:Q16"/>
    <mergeCell ref="Q7:Q8"/>
    <mergeCell ref="Q9:Q10"/>
    <mergeCell ref="Q11:Q12"/>
    <mergeCell ref="R8:S8"/>
    <mergeCell ref="T13:T14"/>
    <mergeCell ref="R14:S14"/>
    <mergeCell ref="R12:S12"/>
    <mergeCell ref="Q19:Q20"/>
    <mergeCell ref="N13:N14"/>
    <mergeCell ref="N15:N16"/>
    <mergeCell ref="O14:P14"/>
    <mergeCell ref="N17:N18"/>
    <mergeCell ref="H17:H18"/>
    <mergeCell ref="E29:E30"/>
    <mergeCell ref="C30:D30"/>
    <mergeCell ref="H29:H30"/>
    <mergeCell ref="F30:G30"/>
    <mergeCell ref="K29:K30"/>
    <mergeCell ref="I22:J22"/>
    <mergeCell ref="A28:AH28"/>
    <mergeCell ref="L23:N24"/>
    <mergeCell ref="E21:E22"/>
    <mergeCell ref="L30:M30"/>
    <mergeCell ref="H13:H14"/>
    <mergeCell ref="X25:AF27"/>
    <mergeCell ref="L25:N27"/>
    <mergeCell ref="O20:P20"/>
    <mergeCell ref="R20:S20"/>
    <mergeCell ref="U22:V22"/>
    <mergeCell ref="Z17:Z18"/>
    <mergeCell ref="O18:P18"/>
    <mergeCell ref="K32:K33"/>
    <mergeCell ref="K15:K16"/>
    <mergeCell ref="F25:H27"/>
    <mergeCell ref="I25:K27"/>
    <mergeCell ref="F23:H24"/>
    <mergeCell ref="I23:K24"/>
    <mergeCell ref="I20:J20"/>
    <mergeCell ref="F22:G22"/>
    <mergeCell ref="H15:H16"/>
    <mergeCell ref="K19:K20"/>
    <mergeCell ref="K21:K22"/>
    <mergeCell ref="I16:J16"/>
    <mergeCell ref="N9:N10"/>
    <mergeCell ref="N11:N12"/>
    <mergeCell ref="H32:H33"/>
    <mergeCell ref="N29:N30"/>
    <mergeCell ref="I30:J30"/>
    <mergeCell ref="C33:D33"/>
    <mergeCell ref="E32:E33"/>
    <mergeCell ref="F33:G33"/>
    <mergeCell ref="A31:AH31"/>
    <mergeCell ref="I33:J33"/>
    <mergeCell ref="I10:J10"/>
    <mergeCell ref="K9:K10"/>
    <mergeCell ref="K11:K12"/>
    <mergeCell ref="K13:K14"/>
    <mergeCell ref="L10:M10"/>
    <mergeCell ref="L12:M12"/>
    <mergeCell ref="I18:J18"/>
    <mergeCell ref="I12:J12"/>
    <mergeCell ref="I14:J14"/>
    <mergeCell ref="L14:M14"/>
    <mergeCell ref="L16:M16"/>
    <mergeCell ref="L18:M18"/>
    <mergeCell ref="F12:G12"/>
    <mergeCell ref="H9:H10"/>
    <mergeCell ref="L3:N4"/>
    <mergeCell ref="L2:N2"/>
    <mergeCell ref="L6:M6"/>
    <mergeCell ref="L8:M8"/>
    <mergeCell ref="N5:N6"/>
    <mergeCell ref="N7:N8"/>
    <mergeCell ref="K5:K6"/>
    <mergeCell ref="I6:J6"/>
    <mergeCell ref="I8:J8"/>
    <mergeCell ref="K7:K8"/>
    <mergeCell ref="I3:K4"/>
    <mergeCell ref="A25:B25"/>
    <mergeCell ref="R25:T27"/>
    <mergeCell ref="O25:Q27"/>
    <mergeCell ref="A26:B26"/>
    <mergeCell ref="A27:B27"/>
    <mergeCell ref="U23:W24"/>
    <mergeCell ref="C23:E24"/>
    <mergeCell ref="R23:T24"/>
    <mergeCell ref="U25:W27"/>
    <mergeCell ref="C25:E27"/>
    <mergeCell ref="O23:Q24"/>
    <mergeCell ref="L22:M22"/>
    <mergeCell ref="AG21:AG22"/>
    <mergeCell ref="A23:B24"/>
    <mergeCell ref="A17:A18"/>
    <mergeCell ref="B17:B18"/>
    <mergeCell ref="A19:A20"/>
    <mergeCell ref="B19:B20"/>
    <mergeCell ref="E17:E18"/>
    <mergeCell ref="C18:D18"/>
    <mergeCell ref="C22:D22"/>
    <mergeCell ref="C20:D20"/>
    <mergeCell ref="A21:A22"/>
    <mergeCell ref="B21:B22"/>
    <mergeCell ref="F20:G20"/>
    <mergeCell ref="H21:H22"/>
    <mergeCell ref="O22:P22"/>
    <mergeCell ref="H19:H20"/>
    <mergeCell ref="U20:V20"/>
    <mergeCell ref="T19:T20"/>
    <mergeCell ref="N19:N20"/>
    <mergeCell ref="N21:N22"/>
    <mergeCell ref="Q21:Q22"/>
    <mergeCell ref="K17:K18"/>
    <mergeCell ref="L20:M20"/>
    <mergeCell ref="B15:B16"/>
    <mergeCell ref="F16:G16"/>
    <mergeCell ref="C16:D16"/>
    <mergeCell ref="E15:E16"/>
    <mergeCell ref="A13:A16"/>
    <mergeCell ref="B13:B14"/>
    <mergeCell ref="F18:G18"/>
    <mergeCell ref="E19:E20"/>
    <mergeCell ref="C8:D8"/>
    <mergeCell ref="A9:A12"/>
    <mergeCell ref="C12:D12"/>
    <mergeCell ref="B9:B10"/>
    <mergeCell ref="B11:B12"/>
    <mergeCell ref="A7:A8"/>
    <mergeCell ref="B7:B8"/>
    <mergeCell ref="F10:G10"/>
    <mergeCell ref="F14:G14"/>
    <mergeCell ref="H7:H8"/>
    <mergeCell ref="F6:G6"/>
    <mergeCell ref="F8:G8"/>
    <mergeCell ref="C14:D14"/>
    <mergeCell ref="E5:E6"/>
    <mergeCell ref="E7:E8"/>
    <mergeCell ref="E13:E14"/>
    <mergeCell ref="E11:E12"/>
    <mergeCell ref="C10:D10"/>
    <mergeCell ref="E9:E10"/>
    <mergeCell ref="H11:H12"/>
    <mergeCell ref="A1:A2"/>
    <mergeCell ref="C1:AF1"/>
    <mergeCell ref="B1:B2"/>
    <mergeCell ref="I2:K2"/>
    <mergeCell ref="C2:E2"/>
    <mergeCell ref="F2:H2"/>
    <mergeCell ref="R2:T2"/>
    <mergeCell ref="U2:W2"/>
    <mergeCell ref="O2:Q2"/>
    <mergeCell ref="X2:AF2"/>
    <mergeCell ref="A3:A4"/>
    <mergeCell ref="B3:B4"/>
    <mergeCell ref="A5:A6"/>
    <mergeCell ref="B5:B6"/>
    <mergeCell ref="E3:E4"/>
    <mergeCell ref="C4:D4"/>
    <mergeCell ref="F3:H4"/>
    <mergeCell ref="H5:H6"/>
    <mergeCell ref="C6:D6"/>
  </mergeCells>
  <phoneticPr fontId="76" type="noConversion"/>
  <hyperlinks>
    <hyperlink ref="X4" r:id="rId1"/>
    <hyperlink ref="F10" r:id="rId2"/>
    <hyperlink ref="U12" r:id="rId3"/>
    <hyperlink ref="F14" r:id="rId4" display="стронций"/>
  </hyperlinks>
  <pageMargins left="0.7" right="0.7" top="0.75" bottom="0.75" header="0.3" footer="0.3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B9" sqref="A2:IV18"/>
    </sheetView>
  </sheetViews>
  <sheetFormatPr defaultRowHeight="15"/>
  <cols>
    <col min="2" max="2" width="18.28515625" customWidth="1"/>
    <col min="3" max="24" width="7.7109375" customWidth="1"/>
  </cols>
  <sheetData>
    <row r="1" spans="1:24" ht="40.9" customHeight="1" thickBot="1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</row>
    <row r="2" spans="1:24" ht="23.45" customHeight="1" thickBot="1">
      <c r="A2" s="350"/>
      <c r="B2" s="351" t="s">
        <v>82</v>
      </c>
      <c r="C2" s="354" t="s">
        <v>83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6"/>
    </row>
    <row r="3" spans="1:24" ht="14.45" customHeight="1">
      <c r="A3" s="350"/>
      <c r="B3" s="352"/>
      <c r="C3" s="357" t="s">
        <v>84</v>
      </c>
      <c r="D3" s="357" t="s">
        <v>85</v>
      </c>
      <c r="E3" s="357" t="s">
        <v>86</v>
      </c>
      <c r="F3" s="357" t="s">
        <v>87</v>
      </c>
      <c r="G3" s="357" t="s">
        <v>88</v>
      </c>
      <c r="H3" s="357" t="s">
        <v>89</v>
      </c>
      <c r="I3" s="357" t="s">
        <v>90</v>
      </c>
      <c r="J3" s="357" t="s">
        <v>91</v>
      </c>
      <c r="K3" s="357" t="s">
        <v>92</v>
      </c>
      <c r="L3" s="357" t="s">
        <v>93</v>
      </c>
      <c r="M3" s="357" t="s">
        <v>94</v>
      </c>
      <c r="N3" s="357" t="s">
        <v>95</v>
      </c>
      <c r="O3" s="357" t="s">
        <v>96</v>
      </c>
      <c r="P3" s="357" t="s">
        <v>97</v>
      </c>
      <c r="Q3" s="357" t="s">
        <v>98</v>
      </c>
      <c r="R3" s="357" t="s">
        <v>99</v>
      </c>
      <c r="S3" s="357" t="s">
        <v>100</v>
      </c>
      <c r="T3" s="357" t="s">
        <v>101</v>
      </c>
      <c r="U3" s="357" t="s">
        <v>102</v>
      </c>
      <c r="V3" s="357" t="s">
        <v>103</v>
      </c>
      <c r="W3" s="357" t="s">
        <v>104</v>
      </c>
      <c r="X3" s="357" t="s">
        <v>105</v>
      </c>
    </row>
    <row r="4" spans="1:24" ht="15" customHeight="1" thickBot="1">
      <c r="A4" s="350"/>
      <c r="B4" s="353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</row>
    <row r="5" spans="1:24" ht="36" thickBot="1">
      <c r="A5" s="350"/>
      <c r="B5" s="9" t="s">
        <v>106</v>
      </c>
      <c r="C5" s="16"/>
      <c r="D5" s="16" t="s">
        <v>107</v>
      </c>
      <c r="E5" s="17" t="s">
        <v>107</v>
      </c>
      <c r="F5" s="17" t="s">
        <v>107</v>
      </c>
      <c r="G5" s="17" t="s">
        <v>107</v>
      </c>
      <c r="H5" s="17" t="s">
        <v>107</v>
      </c>
      <c r="I5" s="18" t="s">
        <v>108</v>
      </c>
      <c r="J5" s="19" t="s">
        <v>109</v>
      </c>
      <c r="K5" s="18" t="s">
        <v>108</v>
      </c>
      <c r="L5" s="19" t="s">
        <v>109</v>
      </c>
      <c r="M5" s="19" t="s">
        <v>109</v>
      </c>
      <c r="N5" s="19" t="s">
        <v>109</v>
      </c>
      <c r="O5" s="19" t="s">
        <v>109</v>
      </c>
      <c r="P5" s="19" t="s">
        <v>109</v>
      </c>
      <c r="Q5" s="19" t="s">
        <v>109</v>
      </c>
      <c r="R5" s="19" t="s">
        <v>109</v>
      </c>
      <c r="S5" s="19" t="s">
        <v>109</v>
      </c>
      <c r="T5" s="20" t="s">
        <v>110</v>
      </c>
      <c r="U5" s="20" t="s">
        <v>110</v>
      </c>
      <c r="V5" s="19" t="s">
        <v>109</v>
      </c>
      <c r="W5" s="19" t="s">
        <v>109</v>
      </c>
      <c r="X5" s="21" t="s">
        <v>109</v>
      </c>
    </row>
    <row r="6" spans="1:24" ht="36" thickBot="1">
      <c r="A6" s="350"/>
      <c r="B6" s="9" t="s">
        <v>111</v>
      </c>
      <c r="C6" s="22" t="s">
        <v>107</v>
      </c>
      <c r="D6" s="23" t="s">
        <v>107</v>
      </c>
      <c r="E6" s="23" t="s">
        <v>107</v>
      </c>
      <c r="F6" s="23" t="s">
        <v>107</v>
      </c>
      <c r="G6" s="23" t="s">
        <v>107</v>
      </c>
      <c r="H6" s="24" t="s">
        <v>108</v>
      </c>
      <c r="I6" s="25" t="s">
        <v>109</v>
      </c>
      <c r="J6" s="25" t="s">
        <v>109</v>
      </c>
      <c r="K6" s="26" t="s">
        <v>108</v>
      </c>
      <c r="L6" s="27" t="s">
        <v>107</v>
      </c>
      <c r="M6" s="28" t="s">
        <v>109</v>
      </c>
      <c r="N6" s="28" t="s">
        <v>109</v>
      </c>
      <c r="O6" s="28" t="s">
        <v>109</v>
      </c>
      <c r="P6" s="23" t="s">
        <v>107</v>
      </c>
      <c r="Q6" s="23" t="s">
        <v>107</v>
      </c>
      <c r="R6" s="26" t="s">
        <v>108</v>
      </c>
      <c r="S6" s="23" t="s">
        <v>107</v>
      </c>
      <c r="T6" s="23" t="s">
        <v>107</v>
      </c>
      <c r="U6" s="24" t="s">
        <v>108</v>
      </c>
      <c r="V6" s="25" t="s">
        <v>109</v>
      </c>
      <c r="W6" s="23" t="s">
        <v>107</v>
      </c>
      <c r="X6" s="29" t="s">
        <v>107</v>
      </c>
    </row>
    <row r="7" spans="1:24" ht="36" thickBot="1">
      <c r="A7" s="350"/>
      <c r="B7" s="9" t="s">
        <v>112</v>
      </c>
      <c r="C7" s="22" t="s">
        <v>107</v>
      </c>
      <c r="D7" s="23" t="s">
        <v>107</v>
      </c>
      <c r="E7" s="23" t="s">
        <v>107</v>
      </c>
      <c r="F7" s="23" t="s">
        <v>107</v>
      </c>
      <c r="G7" s="23" t="s">
        <v>107</v>
      </c>
      <c r="H7" s="23" t="s">
        <v>107</v>
      </c>
      <c r="I7" s="23" t="s">
        <v>107</v>
      </c>
      <c r="J7" s="23" t="s">
        <v>107</v>
      </c>
      <c r="K7" s="23" t="s">
        <v>107</v>
      </c>
      <c r="L7" s="23" t="s">
        <v>107</v>
      </c>
      <c r="M7" s="23" t="s">
        <v>107</v>
      </c>
      <c r="N7" s="23" t="s">
        <v>107</v>
      </c>
      <c r="O7" s="23" t="s">
        <v>107</v>
      </c>
      <c r="P7" s="23" t="s">
        <v>107</v>
      </c>
      <c r="Q7" s="23" t="s">
        <v>107</v>
      </c>
      <c r="R7" s="23" t="s">
        <v>107</v>
      </c>
      <c r="S7" s="23" t="s">
        <v>107</v>
      </c>
      <c r="T7" s="25" t="s">
        <v>109</v>
      </c>
      <c r="U7" s="23" t="s">
        <v>107</v>
      </c>
      <c r="V7" s="24" t="s">
        <v>108</v>
      </c>
      <c r="W7" s="23" t="s">
        <v>107</v>
      </c>
      <c r="X7" s="29" t="s">
        <v>107</v>
      </c>
    </row>
    <row r="8" spans="1:24" ht="36" thickBot="1">
      <c r="A8" s="350"/>
      <c r="B8" s="9" t="s">
        <v>113</v>
      </c>
      <c r="C8" s="22" t="s">
        <v>107</v>
      </c>
      <c r="D8" s="23" t="s">
        <v>107</v>
      </c>
      <c r="E8" s="23" t="s">
        <v>107</v>
      </c>
      <c r="F8" s="23" t="s">
        <v>107</v>
      </c>
      <c r="G8" s="23" t="s">
        <v>107</v>
      </c>
      <c r="H8" s="23" t="s">
        <v>107</v>
      </c>
      <c r="I8" s="23" t="s">
        <v>107</v>
      </c>
      <c r="J8" s="23" t="s">
        <v>107</v>
      </c>
      <c r="K8" s="23" t="s">
        <v>107</v>
      </c>
      <c r="L8" s="23" t="s">
        <v>107</v>
      </c>
      <c r="M8" s="23" t="s">
        <v>107</v>
      </c>
      <c r="N8" s="23" t="s">
        <v>107</v>
      </c>
      <c r="O8" s="23" t="s">
        <v>107</v>
      </c>
      <c r="P8" s="23" t="s">
        <v>107</v>
      </c>
      <c r="Q8" s="23" t="s">
        <v>107</v>
      </c>
      <c r="R8" s="23" t="s">
        <v>107</v>
      </c>
      <c r="S8" s="23" t="s">
        <v>107</v>
      </c>
      <c r="T8" s="25" t="s">
        <v>109</v>
      </c>
      <c r="U8" s="24" t="s">
        <v>108</v>
      </c>
      <c r="V8" s="24" t="s">
        <v>108</v>
      </c>
      <c r="W8" s="23" t="s">
        <v>107</v>
      </c>
      <c r="X8" s="29" t="s">
        <v>107</v>
      </c>
    </row>
    <row r="9" spans="1:24" ht="36" thickBot="1">
      <c r="A9" s="350"/>
      <c r="B9" s="9" t="s">
        <v>114</v>
      </c>
      <c r="C9" s="22" t="s">
        <v>107</v>
      </c>
      <c r="D9" s="23" t="s">
        <v>107</v>
      </c>
      <c r="E9" s="23" t="s">
        <v>107</v>
      </c>
      <c r="F9" s="23" t="s">
        <v>107</v>
      </c>
      <c r="G9" s="23" t="s">
        <v>107</v>
      </c>
      <c r="H9" s="23" t="s">
        <v>107</v>
      </c>
      <c r="I9" s="23" t="s">
        <v>107</v>
      </c>
      <c r="J9" s="23" t="s">
        <v>107</v>
      </c>
      <c r="K9" s="23" t="s">
        <v>107</v>
      </c>
      <c r="L9" s="23" t="s">
        <v>107</v>
      </c>
      <c r="M9" s="10" t="s">
        <v>115</v>
      </c>
      <c r="N9" s="23" t="s">
        <v>107</v>
      </c>
      <c r="O9" s="10" t="s">
        <v>115</v>
      </c>
      <c r="P9" s="23" t="s">
        <v>107</v>
      </c>
      <c r="Q9" s="23" t="s">
        <v>107</v>
      </c>
      <c r="R9" s="23" t="s">
        <v>107</v>
      </c>
      <c r="S9" s="23" t="s">
        <v>107</v>
      </c>
      <c r="T9" s="25" t="s">
        <v>109</v>
      </c>
      <c r="U9" s="25" t="s">
        <v>109</v>
      </c>
      <c r="V9" s="25" t="s">
        <v>109</v>
      </c>
      <c r="W9" s="24" t="s">
        <v>108</v>
      </c>
      <c r="X9" s="29" t="s">
        <v>107</v>
      </c>
    </row>
    <row r="10" spans="1:24" ht="36" thickBot="1">
      <c r="A10" s="350"/>
      <c r="B10" s="9" t="s">
        <v>116</v>
      </c>
      <c r="C10" s="23" t="s">
        <v>107</v>
      </c>
      <c r="D10" s="23" t="s">
        <v>107</v>
      </c>
      <c r="E10" s="23" t="s">
        <v>107</v>
      </c>
      <c r="F10" s="23" t="s">
        <v>107</v>
      </c>
      <c r="G10" s="23" t="s">
        <v>107</v>
      </c>
      <c r="H10" s="23" t="s">
        <v>107</v>
      </c>
      <c r="I10" s="24" t="s">
        <v>108</v>
      </c>
      <c r="J10" s="25" t="s">
        <v>109</v>
      </c>
      <c r="K10" s="23" t="s">
        <v>107</v>
      </c>
      <c r="L10" s="30" t="s">
        <v>110</v>
      </c>
      <c r="M10" s="30" t="s">
        <v>110</v>
      </c>
      <c r="N10" s="25" t="s">
        <v>109</v>
      </c>
      <c r="O10" s="30" t="s">
        <v>110</v>
      </c>
      <c r="P10" s="25" t="s">
        <v>109</v>
      </c>
      <c r="Q10" s="25" t="s">
        <v>109</v>
      </c>
      <c r="R10" s="25" t="s">
        <v>109</v>
      </c>
      <c r="S10" s="25" t="s">
        <v>109</v>
      </c>
      <c r="T10" s="25" t="s">
        <v>109</v>
      </c>
      <c r="U10" s="25" t="s">
        <v>109</v>
      </c>
      <c r="V10" s="25" t="s">
        <v>109</v>
      </c>
      <c r="W10" s="25" t="s">
        <v>109</v>
      </c>
      <c r="X10" s="31" t="s">
        <v>109</v>
      </c>
    </row>
    <row r="11" spans="1:24" ht="36" thickBot="1">
      <c r="A11" s="350"/>
      <c r="B11" s="9" t="s">
        <v>117</v>
      </c>
      <c r="C11" s="23" t="s">
        <v>107</v>
      </c>
      <c r="D11" s="23" t="s">
        <v>107</v>
      </c>
      <c r="E11" s="23" t="s">
        <v>107</v>
      </c>
      <c r="F11" s="23" t="s">
        <v>107</v>
      </c>
      <c r="G11" s="23" t="s">
        <v>107</v>
      </c>
      <c r="H11" s="24" t="s">
        <v>108</v>
      </c>
      <c r="I11" s="24" t="s">
        <v>108</v>
      </c>
      <c r="J11" s="24" t="s">
        <v>108</v>
      </c>
      <c r="K11" s="25" t="s">
        <v>109</v>
      </c>
      <c r="L11" s="10" t="s">
        <v>115</v>
      </c>
      <c r="M11" s="30" t="s">
        <v>110</v>
      </c>
      <c r="N11" s="24" t="s">
        <v>108</v>
      </c>
      <c r="O11" s="10" t="s">
        <v>115</v>
      </c>
      <c r="P11" s="25" t="s">
        <v>109</v>
      </c>
      <c r="Q11" s="25" t="s">
        <v>109</v>
      </c>
      <c r="R11" s="10" t="s">
        <v>115</v>
      </c>
      <c r="S11" s="24" t="s">
        <v>108</v>
      </c>
      <c r="T11" s="25" t="s">
        <v>109</v>
      </c>
      <c r="U11" s="25" t="s">
        <v>109</v>
      </c>
      <c r="V11" s="25" t="s">
        <v>109</v>
      </c>
      <c r="W11" s="10" t="s">
        <v>115</v>
      </c>
      <c r="X11" s="11" t="s">
        <v>115</v>
      </c>
    </row>
    <row r="12" spans="1:24" ht="36" thickBot="1">
      <c r="A12" s="350"/>
      <c r="B12" s="9" t="s">
        <v>118</v>
      </c>
      <c r="C12" s="23" t="s">
        <v>107</v>
      </c>
      <c r="D12" s="23" t="s">
        <v>107</v>
      </c>
      <c r="E12" s="23" t="s">
        <v>107</v>
      </c>
      <c r="F12" s="23" t="s">
        <v>107</v>
      </c>
      <c r="G12" s="23" t="s">
        <v>107</v>
      </c>
      <c r="H12" s="25" t="s">
        <v>109</v>
      </c>
      <c r="I12" s="24" t="s">
        <v>108</v>
      </c>
      <c r="J12" s="27" t="s">
        <v>107</v>
      </c>
      <c r="K12" s="25" t="s">
        <v>109</v>
      </c>
      <c r="L12" s="23" t="s">
        <v>107</v>
      </c>
      <c r="M12" s="23" t="s">
        <v>107</v>
      </c>
      <c r="N12" s="23" t="s">
        <v>107</v>
      </c>
      <c r="O12" s="23" t="s">
        <v>107</v>
      </c>
      <c r="P12" s="23" t="s">
        <v>107</v>
      </c>
      <c r="Q12" s="23" t="s">
        <v>107</v>
      </c>
      <c r="R12" s="23" t="s">
        <v>107</v>
      </c>
      <c r="S12" s="23" t="s">
        <v>107</v>
      </c>
      <c r="T12" s="24" t="s">
        <v>108</v>
      </c>
      <c r="U12" s="30" t="s">
        <v>110</v>
      </c>
      <c r="V12" s="25" t="s">
        <v>109</v>
      </c>
      <c r="W12" s="23" t="s">
        <v>107</v>
      </c>
      <c r="X12" s="29" t="s">
        <v>107</v>
      </c>
    </row>
    <row r="13" spans="1:24" ht="36" thickBot="1">
      <c r="A13" s="350"/>
      <c r="B13" s="9" t="s">
        <v>119</v>
      </c>
      <c r="C13" s="23" t="s">
        <v>107</v>
      </c>
      <c r="D13" s="23" t="s">
        <v>107</v>
      </c>
      <c r="E13" s="23" t="s">
        <v>107</v>
      </c>
      <c r="F13" s="23" t="s">
        <v>107</v>
      </c>
      <c r="G13" s="23" t="s">
        <v>107</v>
      </c>
      <c r="H13" s="23" t="s">
        <v>107</v>
      </c>
      <c r="I13" s="23" t="s">
        <v>107</v>
      </c>
      <c r="J13" s="23" t="s">
        <v>107</v>
      </c>
      <c r="K13" s="23" t="s">
        <v>107</v>
      </c>
      <c r="L13" s="23" t="s">
        <v>107</v>
      </c>
      <c r="M13" s="23" t="s">
        <v>107</v>
      </c>
      <c r="N13" s="23" t="s">
        <v>107</v>
      </c>
      <c r="O13" s="23" t="s">
        <v>107</v>
      </c>
      <c r="P13" s="23" t="s">
        <v>107</v>
      </c>
      <c r="Q13" s="23" t="s">
        <v>107</v>
      </c>
      <c r="R13" s="23" t="s">
        <v>107</v>
      </c>
      <c r="S13" s="23" t="s">
        <v>107</v>
      </c>
      <c r="T13" s="23" t="s">
        <v>107</v>
      </c>
      <c r="U13" s="23" t="s">
        <v>107</v>
      </c>
      <c r="V13" s="23" t="s">
        <v>107</v>
      </c>
      <c r="W13" s="30" t="s">
        <v>110</v>
      </c>
      <c r="X13" s="29" t="s">
        <v>107</v>
      </c>
    </row>
    <row r="14" spans="1:24" ht="36" thickBot="1">
      <c r="A14" s="350"/>
      <c r="B14" s="9" t="s">
        <v>120</v>
      </c>
      <c r="C14" s="23" t="s">
        <v>107</v>
      </c>
      <c r="D14" s="23" t="s">
        <v>107</v>
      </c>
      <c r="E14" s="23" t="s">
        <v>107</v>
      </c>
      <c r="F14" s="23" t="s">
        <v>107</v>
      </c>
      <c r="G14" s="23" t="s">
        <v>107</v>
      </c>
      <c r="H14" s="23" t="s">
        <v>107</v>
      </c>
      <c r="I14" s="23" t="s">
        <v>107</v>
      </c>
      <c r="J14" s="23" t="s">
        <v>107</v>
      </c>
      <c r="K14" s="23" t="s">
        <v>107</v>
      </c>
      <c r="L14" s="10" t="s">
        <v>115</v>
      </c>
      <c r="M14" s="10" t="s">
        <v>115</v>
      </c>
      <c r="N14" s="10" t="s">
        <v>115</v>
      </c>
      <c r="O14" s="10" t="s">
        <v>115</v>
      </c>
      <c r="P14" s="23" t="s">
        <v>107</v>
      </c>
      <c r="Q14" s="24" t="s">
        <v>108</v>
      </c>
      <c r="R14" s="12" t="s">
        <v>115</v>
      </c>
      <c r="S14" s="12" t="s">
        <v>115</v>
      </c>
      <c r="T14" s="26" t="s">
        <v>108</v>
      </c>
      <c r="U14" s="12" t="s">
        <v>115</v>
      </c>
      <c r="V14" s="12" t="s">
        <v>115</v>
      </c>
      <c r="W14" s="12" t="s">
        <v>115</v>
      </c>
      <c r="X14" s="13" t="s">
        <v>115</v>
      </c>
    </row>
    <row r="15" spans="1:24" ht="36" thickBot="1">
      <c r="A15" s="350"/>
      <c r="B15" s="9" t="s">
        <v>121</v>
      </c>
      <c r="C15" s="23" t="s">
        <v>107</v>
      </c>
      <c r="D15" s="28" t="s">
        <v>109</v>
      </c>
      <c r="E15" s="23" t="s">
        <v>107</v>
      </c>
      <c r="F15" s="23" t="s">
        <v>107</v>
      </c>
      <c r="G15" s="30" t="s">
        <v>110</v>
      </c>
      <c r="H15" s="25" t="s">
        <v>109</v>
      </c>
      <c r="I15" s="25" t="s">
        <v>109</v>
      </c>
      <c r="J15" s="25" t="s">
        <v>109</v>
      </c>
      <c r="K15" s="25" t="s">
        <v>109</v>
      </c>
      <c r="L15" s="25" t="s">
        <v>109</v>
      </c>
      <c r="M15" s="25" t="s">
        <v>109</v>
      </c>
      <c r="N15" s="25" t="s">
        <v>109</v>
      </c>
      <c r="O15" s="25" t="s">
        <v>109</v>
      </c>
      <c r="P15" s="25" t="s">
        <v>109</v>
      </c>
      <c r="Q15" s="25" t="s">
        <v>109</v>
      </c>
      <c r="R15" s="25" t="s">
        <v>109</v>
      </c>
      <c r="S15" s="25" t="s">
        <v>109</v>
      </c>
      <c r="T15" s="25" t="s">
        <v>109</v>
      </c>
      <c r="U15" s="25" t="s">
        <v>109</v>
      </c>
      <c r="V15" s="25" t="s">
        <v>109</v>
      </c>
      <c r="W15" s="25" t="s">
        <v>109</v>
      </c>
      <c r="X15" s="31" t="s">
        <v>109</v>
      </c>
    </row>
    <row r="16" spans="1:24" ht="36" thickBot="1">
      <c r="A16" s="350"/>
      <c r="B16" s="9" t="s">
        <v>122</v>
      </c>
      <c r="C16" s="23" t="s">
        <v>107</v>
      </c>
      <c r="D16" s="23" t="s">
        <v>107</v>
      </c>
      <c r="E16" s="23" t="s">
        <v>107</v>
      </c>
      <c r="F16" s="23" t="s">
        <v>107</v>
      </c>
      <c r="G16" s="23" t="s">
        <v>107</v>
      </c>
      <c r="H16" s="28" t="s">
        <v>109</v>
      </c>
      <c r="I16" s="28" t="s">
        <v>109</v>
      </c>
      <c r="J16" s="28" t="s">
        <v>109</v>
      </c>
      <c r="K16" s="28" t="s">
        <v>109</v>
      </c>
      <c r="L16" s="12" t="s">
        <v>115</v>
      </c>
      <c r="M16" s="12" t="s">
        <v>115</v>
      </c>
      <c r="N16" s="28" t="s">
        <v>109</v>
      </c>
      <c r="O16" s="12" t="s">
        <v>115</v>
      </c>
      <c r="P16" s="28" t="s">
        <v>109</v>
      </c>
      <c r="Q16" s="28" t="s">
        <v>109</v>
      </c>
      <c r="R16" s="28" t="s">
        <v>109</v>
      </c>
      <c r="S16" s="28" t="s">
        <v>109</v>
      </c>
      <c r="T16" s="28" t="s">
        <v>109</v>
      </c>
      <c r="U16" s="12" t="s">
        <v>115</v>
      </c>
      <c r="V16" s="28" t="s">
        <v>109</v>
      </c>
      <c r="W16" s="12" t="s">
        <v>115</v>
      </c>
      <c r="X16" s="32" t="s">
        <v>109</v>
      </c>
    </row>
    <row r="17" spans="1:24" ht="36" thickBot="1">
      <c r="A17" s="350"/>
      <c r="B17" s="9" t="s">
        <v>123</v>
      </c>
      <c r="C17" s="23" t="s">
        <v>107</v>
      </c>
      <c r="D17" s="23" t="s">
        <v>107</v>
      </c>
      <c r="E17" s="23" t="s">
        <v>107</v>
      </c>
      <c r="F17" s="23" t="s">
        <v>107</v>
      </c>
      <c r="G17" s="23" t="s">
        <v>107</v>
      </c>
      <c r="H17" s="23" t="s">
        <v>107</v>
      </c>
      <c r="I17" s="23" t="s">
        <v>107</v>
      </c>
      <c r="J17" s="23" t="s">
        <v>107</v>
      </c>
      <c r="K17" s="23" t="s">
        <v>107</v>
      </c>
      <c r="L17" s="30" t="s">
        <v>110</v>
      </c>
      <c r="M17" s="23" t="s">
        <v>107</v>
      </c>
      <c r="N17" s="23" t="s">
        <v>107</v>
      </c>
      <c r="O17" s="30" t="s">
        <v>110</v>
      </c>
      <c r="P17" s="23" t="s">
        <v>107</v>
      </c>
      <c r="Q17" s="23" t="s">
        <v>107</v>
      </c>
      <c r="R17" s="23" t="s">
        <v>107</v>
      </c>
      <c r="S17" s="23" t="s">
        <v>107</v>
      </c>
      <c r="T17" s="23" t="s">
        <v>107</v>
      </c>
      <c r="U17" s="23" t="s">
        <v>107</v>
      </c>
      <c r="V17" s="23" t="s">
        <v>107</v>
      </c>
      <c r="W17" s="30" t="s">
        <v>110</v>
      </c>
      <c r="X17" s="29" t="s">
        <v>107</v>
      </c>
    </row>
    <row r="18" spans="1:24" ht="36" thickBot="1">
      <c r="A18" s="350"/>
      <c r="B18" s="9" t="s">
        <v>124</v>
      </c>
      <c r="C18" s="33" t="s">
        <v>109</v>
      </c>
      <c r="D18" s="34" t="s">
        <v>107</v>
      </c>
      <c r="E18" s="35" t="s">
        <v>107</v>
      </c>
      <c r="F18" s="34" t="s">
        <v>107</v>
      </c>
      <c r="G18" s="14" t="s">
        <v>115</v>
      </c>
      <c r="H18" s="36" t="s">
        <v>109</v>
      </c>
      <c r="I18" s="36" t="s">
        <v>109</v>
      </c>
      <c r="J18" s="36" t="s">
        <v>109</v>
      </c>
      <c r="K18" s="36" t="s">
        <v>109</v>
      </c>
      <c r="L18" s="14" t="s">
        <v>115</v>
      </c>
      <c r="M18" s="14" t="s">
        <v>115</v>
      </c>
      <c r="N18" s="36" t="s">
        <v>109</v>
      </c>
      <c r="O18" s="14" t="s">
        <v>115</v>
      </c>
      <c r="P18" s="14" t="s">
        <v>115</v>
      </c>
      <c r="Q18" s="14" t="s">
        <v>115</v>
      </c>
      <c r="R18" s="36" t="s">
        <v>109</v>
      </c>
      <c r="S18" s="36" t="s">
        <v>109</v>
      </c>
      <c r="T18" s="14" t="s">
        <v>115</v>
      </c>
      <c r="U18" s="14" t="s">
        <v>115</v>
      </c>
      <c r="V18" s="36" t="s">
        <v>109</v>
      </c>
      <c r="W18" s="14" t="s">
        <v>115</v>
      </c>
      <c r="X18" s="15" t="s">
        <v>115</v>
      </c>
    </row>
  </sheetData>
  <mergeCells count="26">
    <mergeCell ref="K3:K4"/>
    <mergeCell ref="L3:L4"/>
    <mergeCell ref="W3:W4"/>
    <mergeCell ref="X3:X4"/>
    <mergeCell ref="O3:O4"/>
    <mergeCell ref="P3:P4"/>
    <mergeCell ref="Q3:Q4"/>
    <mergeCell ref="R3:R4"/>
    <mergeCell ref="S3:S4"/>
    <mergeCell ref="T3:T4"/>
    <mergeCell ref="A1:X1"/>
    <mergeCell ref="A2:A18"/>
    <mergeCell ref="B2:B4"/>
    <mergeCell ref="C2:X2"/>
    <mergeCell ref="C3:C4"/>
    <mergeCell ref="D3:D4"/>
    <mergeCell ref="E3:E4"/>
    <mergeCell ref="F3:F4"/>
    <mergeCell ref="G3:G4"/>
    <mergeCell ref="H3:H4"/>
    <mergeCell ref="M3:M4"/>
    <mergeCell ref="N3:N4"/>
    <mergeCell ref="U3:U4"/>
    <mergeCell ref="V3:V4"/>
    <mergeCell ref="I3:I4"/>
    <mergeCell ref="J3:J4"/>
  </mergeCells>
  <phoneticPr fontId="7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4" sqref="C14"/>
    </sheetView>
  </sheetViews>
  <sheetFormatPr defaultRowHeight="15"/>
  <cols>
    <col min="2" max="2" width="14.140625" customWidth="1"/>
    <col min="5" max="5" width="14" customWidth="1"/>
    <col min="6" max="6" width="5.42578125" customWidth="1"/>
  </cols>
  <sheetData>
    <row r="1" spans="1:10">
      <c r="A1" s="195"/>
      <c r="B1" s="196"/>
      <c r="C1" s="197">
        <v>5</v>
      </c>
      <c r="D1" s="198" t="s">
        <v>480</v>
      </c>
    </row>
    <row r="2" spans="1:10">
      <c r="A2" s="199" t="s">
        <v>477</v>
      </c>
      <c r="B2" s="57" t="str">
        <f>Рецепты!C21</f>
        <v xml:space="preserve">CaCI2 * 2Н20 </v>
      </c>
      <c r="C2" s="57">
        <f>147*C1/2</f>
        <v>367.5</v>
      </c>
      <c r="D2" s="200"/>
    </row>
    <row r="3" spans="1:10">
      <c r="A3" s="199"/>
      <c r="B3" s="57"/>
      <c r="C3" s="57"/>
      <c r="D3" s="200"/>
    </row>
    <row r="4" spans="1:10">
      <c r="A4" s="199" t="s">
        <v>478</v>
      </c>
      <c r="B4" s="57" t="str">
        <f>Рецепты!C12</f>
        <v xml:space="preserve">NaHCO3 </v>
      </c>
      <c r="C4" s="57">
        <f>168*C1/2</f>
        <v>420</v>
      </c>
      <c r="D4" s="200"/>
    </row>
    <row r="5" spans="1:10">
      <c r="A5" s="199"/>
      <c r="B5" s="57"/>
      <c r="C5" s="57"/>
      <c r="D5" s="200"/>
    </row>
    <row r="6" spans="1:10">
      <c r="A6" s="199" t="s">
        <v>479</v>
      </c>
      <c r="B6" s="57" t="str">
        <f>Рецепты!C7</f>
        <v>MgSO4*7H2O</v>
      </c>
      <c r="C6" s="57">
        <f>30*C1/2</f>
        <v>75</v>
      </c>
      <c r="D6" s="200"/>
    </row>
    <row r="7" spans="1:10">
      <c r="A7" s="199"/>
      <c r="B7" s="57" t="str">
        <f>Рецепты!C8</f>
        <v xml:space="preserve">MgCI2 * 6Н20 </v>
      </c>
      <c r="C7" s="57">
        <f>22*C1/2</f>
        <v>55</v>
      </c>
      <c r="D7" s="200"/>
    </row>
    <row r="8" spans="1:10">
      <c r="A8" s="199"/>
      <c r="B8" s="57" t="str">
        <f>Рецепты!C10</f>
        <v>KCl</v>
      </c>
      <c r="C8" s="57">
        <f>3*C1/2</f>
        <v>7.5</v>
      </c>
      <c r="D8" s="200"/>
    </row>
    <row r="9" spans="1:10">
      <c r="A9" s="201"/>
      <c r="B9" s="202" t="str">
        <f>Рецепты!C15</f>
        <v>Н3ВО3</v>
      </c>
      <c r="C9" s="202">
        <f>0.1*C1/2</f>
        <v>0.25</v>
      </c>
      <c r="D9" s="203"/>
    </row>
    <row r="13" spans="1:10">
      <c r="A13" s="195" t="s">
        <v>481</v>
      </c>
      <c r="B13" s="196"/>
      <c r="C13" s="197">
        <v>100</v>
      </c>
      <c r="D13" s="196" t="s">
        <v>480</v>
      </c>
      <c r="E13" s="196" t="s">
        <v>482</v>
      </c>
      <c r="F13" s="197">
        <v>200</v>
      </c>
      <c r="G13" s="198" t="s">
        <v>483</v>
      </c>
      <c r="I13">
        <f>C13*F13/1000</f>
        <v>20</v>
      </c>
      <c r="J13" t="s">
        <v>484</v>
      </c>
    </row>
    <row r="14" spans="1:10">
      <c r="A14" s="199"/>
      <c r="B14" s="57" t="str">
        <f>B6</f>
        <v>MgSO4*7H2O</v>
      </c>
      <c r="C14" s="210">
        <f>G14*I13/E14</f>
        <v>17.031310957551828</v>
      </c>
      <c r="D14" s="204">
        <f>Реактивы!E4</f>
        <v>246.4674</v>
      </c>
      <c r="E14" s="205">
        <f>Реактивы!H4</f>
        <v>9.8641848780000929E-2</v>
      </c>
      <c r="F14" s="204"/>
      <c r="G14" s="206">
        <v>8.4000000000000005E-2</v>
      </c>
    </row>
    <row r="15" spans="1:10">
      <c r="A15" s="201"/>
      <c r="B15" s="202" t="str">
        <f>B7</f>
        <v xml:space="preserve">MgCI2 * 6Н20 </v>
      </c>
      <c r="C15" s="211">
        <f>G15*I13/E15</f>
        <v>153.19293715037841</v>
      </c>
      <c r="D15" s="207">
        <f>Реактивы!E5</f>
        <v>203.29840000000002</v>
      </c>
      <c r="E15" s="208">
        <f>Реактивы!H5</f>
        <v>0.11958775868378699</v>
      </c>
      <c r="F15" s="207"/>
      <c r="G15" s="209">
        <f>1-G14</f>
        <v>0.91600000000000004</v>
      </c>
    </row>
    <row r="19" spans="3:3">
      <c r="C19" s="141"/>
    </row>
  </sheetData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H12" sqref="H12"/>
    </sheetView>
  </sheetViews>
  <sheetFormatPr defaultRowHeight="15"/>
  <cols>
    <col min="1" max="1" width="15" customWidth="1"/>
    <col min="2" max="2" width="13.7109375" customWidth="1"/>
    <col min="3" max="3" width="3" customWidth="1"/>
    <col min="5" max="5" width="2.7109375" customWidth="1"/>
    <col min="6" max="6" width="5.42578125" customWidth="1"/>
    <col min="7" max="7" width="2.85546875" customWidth="1"/>
    <col min="8" max="8" width="12" customWidth="1"/>
    <col min="9" max="9" width="1.85546875" customWidth="1"/>
    <col min="10" max="10" width="7.28515625" customWidth="1"/>
    <col min="11" max="11" width="2.140625" customWidth="1"/>
    <col min="12" max="12" width="7.140625" customWidth="1"/>
  </cols>
  <sheetData>
    <row r="2" spans="1:12">
      <c r="B2">
        <f>2*'Таблица Менделеева'!Y9+6*'Таблица Менделеева'!V7+12*F2</f>
        <v>540.57280000000003</v>
      </c>
      <c r="D2">
        <f>6*'Таблица Менделеева'!D7+3*'Таблица Менделеева'!M5+9*'Таблица Менделеева'!S5</f>
        <v>317.96684999999997</v>
      </c>
      <c r="F2">
        <f>2*'Таблица Менделеева'!D3+'Таблица Менделеева'!S5</f>
        <v>18.013400000000001</v>
      </c>
      <c r="H2">
        <f>2*'Таблица Менделеева'!Y9+4*'Таблица Менделеева'!S5+2*'Таблица Менделеева'!D3</f>
        <v>177.7056</v>
      </c>
      <c r="L2">
        <f>6*'Таблица Менделеева'!D7+6*'Таблица Менделеева'!V7</f>
        <v>350.65679999999998</v>
      </c>
    </row>
    <row r="3" spans="1:12" ht="17.25">
      <c r="B3" s="193" t="s">
        <v>503</v>
      </c>
      <c r="C3" t="s">
        <v>485</v>
      </c>
      <c r="D3" s="193" t="s">
        <v>486</v>
      </c>
      <c r="E3" t="s">
        <v>485</v>
      </c>
      <c r="F3" s="193" t="s">
        <v>487</v>
      </c>
      <c r="G3" t="s">
        <v>488</v>
      </c>
      <c r="H3" s="193" t="s">
        <v>489</v>
      </c>
      <c r="I3" t="s">
        <v>485</v>
      </c>
      <c r="J3" s="193" t="s">
        <v>490</v>
      </c>
      <c r="K3" t="s">
        <v>485</v>
      </c>
      <c r="L3" s="193" t="s">
        <v>491</v>
      </c>
    </row>
    <row r="4" spans="1:12">
      <c r="B4" s="181">
        <f>H4*B2/H2</f>
        <v>304.195703455603</v>
      </c>
      <c r="D4" s="181">
        <f>H4*D2/H2</f>
        <v>178.9289982983091</v>
      </c>
      <c r="F4">
        <f>H4*F2/H2</f>
        <v>10.136652981110331</v>
      </c>
      <c r="H4">
        <v>100</v>
      </c>
      <c r="L4" s="181">
        <f>H4*L2/H2</f>
        <v>197.32456377289179</v>
      </c>
    </row>
    <row r="5" spans="1:12">
      <c r="A5" t="s">
        <v>492</v>
      </c>
      <c r="B5">
        <v>920</v>
      </c>
      <c r="D5">
        <v>200</v>
      </c>
      <c r="L5">
        <v>350</v>
      </c>
    </row>
    <row r="6" spans="1:12">
      <c r="B6" s="181">
        <f>B4/B5</f>
        <v>0.3306475037560902</v>
      </c>
      <c r="C6" s="181"/>
      <c r="D6" s="181">
        <f t="shared" ref="D6:L6" si="0">D4/D5</f>
        <v>0.89464499149154553</v>
      </c>
      <c r="E6" s="181"/>
      <c r="F6" s="181"/>
      <c r="G6" s="181"/>
      <c r="H6" s="181"/>
      <c r="I6" s="181"/>
      <c r="J6" s="181"/>
      <c r="K6" s="181"/>
      <c r="L6" s="181">
        <f t="shared" si="0"/>
        <v>0.56378446792254799</v>
      </c>
    </row>
    <row r="8" spans="1:12">
      <c r="B8" s="141"/>
    </row>
    <row r="13" spans="1:12">
      <c r="A13" t="s">
        <v>493</v>
      </c>
      <c r="B13" t="s">
        <v>499</v>
      </c>
    </row>
    <row r="14" spans="1:12" ht="17.25">
      <c r="A14" s="194" t="s">
        <v>497</v>
      </c>
      <c r="B14" s="185">
        <v>300</v>
      </c>
      <c r="C14" s="185" t="s">
        <v>494</v>
      </c>
    </row>
    <row r="15" spans="1:12" ht="17.25">
      <c r="A15" s="194" t="s">
        <v>498</v>
      </c>
      <c r="B15" s="185">
        <v>180</v>
      </c>
      <c r="C15" s="185" t="s">
        <v>494</v>
      </c>
    </row>
    <row r="16" spans="1:12">
      <c r="A16" s="185" t="s">
        <v>496</v>
      </c>
      <c r="B16" s="185">
        <v>1</v>
      </c>
      <c r="C16" s="185" t="s">
        <v>495</v>
      </c>
    </row>
  </sheetData>
  <pageMargins left="0.7" right="0.7" top="0.75" bottom="0.75" header="0.3" footer="0.3"/>
  <pageSetup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/>
  <cols>
    <col min="1" max="1" width="15.5703125" bestFit="1" customWidth="1"/>
  </cols>
  <sheetData>
    <row r="1" spans="1:8">
      <c r="A1">
        <v>5</v>
      </c>
      <c r="B1" t="s">
        <v>464</v>
      </c>
    </row>
    <row r="2" spans="1:8">
      <c r="B2" s="183" t="s">
        <v>459</v>
      </c>
      <c r="C2" s="183" t="s">
        <v>161</v>
      </c>
    </row>
    <row r="3" spans="1:8">
      <c r="A3" s="166" t="s">
        <v>125</v>
      </c>
      <c r="B3">
        <f>$A$1*264</f>
        <v>1320</v>
      </c>
      <c r="C3">
        <f>$A$1*280</f>
        <v>1400</v>
      </c>
      <c r="E3">
        <v>359</v>
      </c>
      <c r="G3" s="141">
        <f>B3/E3</f>
        <v>3.6768802228412256</v>
      </c>
      <c r="H3" s="141">
        <f>C3/E3</f>
        <v>3.8997214484679668</v>
      </c>
    </row>
    <row r="4" spans="1:8" ht="18">
      <c r="A4" s="166" t="s">
        <v>467</v>
      </c>
      <c r="B4">
        <f>$A$1*140</f>
        <v>700</v>
      </c>
      <c r="E4">
        <v>659</v>
      </c>
      <c r="G4" s="141">
        <f t="shared" ref="G4:G9" si="0">B4/E4</f>
        <v>1.062215477996965</v>
      </c>
      <c r="H4" s="141"/>
    </row>
    <row r="5" spans="1:8" ht="18">
      <c r="A5" s="166" t="s">
        <v>311</v>
      </c>
      <c r="C5">
        <f>$A$1*100</f>
        <v>500</v>
      </c>
      <c r="E5">
        <v>664</v>
      </c>
      <c r="G5" s="141"/>
      <c r="H5" s="141">
        <f t="shared" ref="H5:H10" si="1">C5/E5</f>
        <v>0.75301204819277112</v>
      </c>
    </row>
    <row r="6" spans="1:8">
      <c r="A6" s="148" t="s">
        <v>126</v>
      </c>
      <c r="C6">
        <v>14</v>
      </c>
      <c r="E6">
        <v>343</v>
      </c>
      <c r="G6" s="141"/>
      <c r="H6" s="141">
        <f t="shared" si="1"/>
        <v>4.0816326530612242E-2</v>
      </c>
    </row>
    <row r="7" spans="1:8" ht="18">
      <c r="A7" s="148" t="s">
        <v>312</v>
      </c>
      <c r="B7">
        <f>$A$1*4</f>
        <v>20</v>
      </c>
      <c r="E7">
        <v>96</v>
      </c>
      <c r="G7" s="141">
        <f t="shared" si="0"/>
        <v>0.20833333333333334</v>
      </c>
      <c r="H7" s="141"/>
    </row>
    <row r="8" spans="1:8">
      <c r="A8" s="148" t="s">
        <v>127</v>
      </c>
      <c r="C8">
        <f>$A$1*2</f>
        <v>10</v>
      </c>
      <c r="G8" s="141"/>
      <c r="H8" s="141"/>
    </row>
    <row r="9" spans="1:8" ht="18">
      <c r="A9" s="148" t="s">
        <v>313</v>
      </c>
      <c r="B9">
        <f>$A$1*0.3</f>
        <v>1.5</v>
      </c>
      <c r="E9">
        <v>48</v>
      </c>
      <c r="G9" s="141">
        <f t="shared" si="0"/>
        <v>3.125E-2</v>
      </c>
      <c r="H9" s="141"/>
    </row>
    <row r="10" spans="1:8" ht="18">
      <c r="A10" s="148" t="s">
        <v>314</v>
      </c>
      <c r="C10">
        <f>$A$1*31</f>
        <v>155</v>
      </c>
      <c r="E10">
        <v>1742</v>
      </c>
      <c r="G10" s="141"/>
      <c r="H10" s="141">
        <f t="shared" si="1"/>
        <v>8.8978185993111372E-2</v>
      </c>
    </row>
    <row r="11" spans="1:8" ht="18">
      <c r="A11" s="148" t="s">
        <v>315</v>
      </c>
      <c r="C11">
        <f>$A$1*0.8</f>
        <v>4</v>
      </c>
      <c r="G11" s="141"/>
      <c r="H11" s="141"/>
    </row>
    <row r="12" spans="1:8">
      <c r="G12" s="141">
        <f>SUM(G3:G10)</f>
        <v>4.9786790341715239</v>
      </c>
      <c r="H12" s="141">
        <f>SUM(H3:H10)</f>
        <v>4.7825280091844613</v>
      </c>
    </row>
    <row r="13" spans="1:8">
      <c r="A13" s="220" t="s">
        <v>459</v>
      </c>
      <c r="B13" s="221"/>
    </row>
    <row r="14" spans="1:8">
      <c r="A14" s="184" t="s">
        <v>125</v>
      </c>
      <c r="B14" s="185">
        <f>$A$1*264</f>
        <v>1320</v>
      </c>
    </row>
    <row r="15" spans="1:8" ht="18">
      <c r="A15" s="184" t="s">
        <v>445</v>
      </c>
      <c r="B15" s="185">
        <f>$A$1*140</f>
        <v>700</v>
      </c>
    </row>
    <row r="16" spans="1:8" ht="18">
      <c r="A16" s="184" t="s">
        <v>312</v>
      </c>
      <c r="B16" s="185">
        <f>$A$1*4</f>
        <v>20</v>
      </c>
    </row>
    <row r="17" spans="1:2" ht="18">
      <c r="A17" s="184" t="s">
        <v>313</v>
      </c>
      <c r="B17" s="185">
        <f>$A$1*0.3</f>
        <v>1.5</v>
      </c>
    </row>
    <row r="19" spans="1:2">
      <c r="A19" s="220" t="s">
        <v>161</v>
      </c>
      <c r="B19" s="222"/>
    </row>
    <row r="20" spans="1:2">
      <c r="A20" s="184" t="s">
        <v>125</v>
      </c>
      <c r="B20" s="185">
        <f>$A$1*280</f>
        <v>1400</v>
      </c>
    </row>
    <row r="21" spans="1:2" ht="18">
      <c r="A21" s="184" t="s">
        <v>311</v>
      </c>
      <c r="B21" s="185">
        <f>$A$1*100</f>
        <v>500</v>
      </c>
    </row>
    <row r="22" spans="1:2">
      <c r="A22" s="184" t="s">
        <v>126</v>
      </c>
      <c r="B22" s="185">
        <v>14</v>
      </c>
    </row>
    <row r="23" spans="1:2">
      <c r="A23" s="184" t="s">
        <v>127</v>
      </c>
      <c r="B23" s="185">
        <f>$A$1*2</f>
        <v>10</v>
      </c>
    </row>
    <row r="24" spans="1:2" ht="18">
      <c r="A24" s="184" t="s">
        <v>314</v>
      </c>
      <c r="B24" s="185">
        <f>$A$1*31</f>
        <v>155</v>
      </c>
    </row>
    <row r="25" spans="1:2" ht="18">
      <c r="A25" s="184" t="s">
        <v>315</v>
      </c>
      <c r="B25" s="185">
        <f>$A$1*0.8</f>
        <v>4</v>
      </c>
    </row>
  </sheetData>
  <mergeCells count="2">
    <mergeCell ref="A13:B13"/>
    <mergeCell ref="A19:B19"/>
  </mergeCells>
  <dataValidations count="4">
    <dataValidation type="list" allowBlank="1" showInputMessage="1" showErrorMessage="1" sqref="A21">
      <formula1>MgCl2</formula1>
    </dataValidation>
    <dataValidation type="list" allowBlank="1" showInputMessage="1" showErrorMessage="1" sqref="A5">
      <formula1>MgCl2</formula1>
    </dataValidation>
    <dataValidation type="list" allowBlank="1" showInputMessage="1" showErrorMessage="1" sqref="A15">
      <formula1>MgSO4</formula1>
    </dataValidation>
    <dataValidation type="list" allowBlank="1" showInputMessage="1" showErrorMessage="1" sqref="A4">
      <formula1>MgSO4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activeCell="C5" sqref="C5"/>
    </sheetView>
  </sheetViews>
  <sheetFormatPr defaultRowHeight="15"/>
  <cols>
    <col min="1" max="1" width="3.85546875" customWidth="1"/>
    <col min="2" max="2" width="15.42578125" customWidth="1"/>
    <col min="3" max="3" width="11" bestFit="1" customWidth="1"/>
    <col min="4" max="4" width="7.85546875" customWidth="1"/>
    <col min="5" max="5" width="9.140625" customWidth="1"/>
    <col min="6" max="6" width="8.7109375" customWidth="1"/>
    <col min="7" max="7" width="7.140625" customWidth="1"/>
    <col min="8" max="8" width="7.28515625" customWidth="1"/>
    <col min="9" max="9" width="8.7109375" customWidth="1"/>
    <col min="10" max="10" width="8.28515625" customWidth="1"/>
    <col min="11" max="11" width="9.7109375" customWidth="1"/>
    <col min="12" max="12" width="9.85546875" customWidth="1"/>
  </cols>
  <sheetData>
    <row r="1" spans="1:14">
      <c r="C1" s="361" t="s">
        <v>502</v>
      </c>
      <c r="D1" s="360" t="s">
        <v>356</v>
      </c>
      <c r="E1" s="94" t="str">
        <f>B30</f>
        <v xml:space="preserve">CaCI2 * 2Н20 </v>
      </c>
      <c r="F1" s="94" t="str">
        <f>B31</f>
        <v xml:space="preserve">SrCI2 * 6Н20 </v>
      </c>
      <c r="G1" s="94" t="str">
        <f>Рецепты!C14</f>
        <v>KBr</v>
      </c>
      <c r="H1" s="94" t="str">
        <f>Рецепты!C10</f>
        <v>KCl</v>
      </c>
      <c r="I1" s="94" t="str">
        <f>Рецепты!C12</f>
        <v xml:space="preserve">NaHCO3 </v>
      </c>
      <c r="J1" s="94" t="str">
        <f>Рецепты!C6</f>
        <v>NaCl</v>
      </c>
      <c r="K1" s="94" t="str">
        <f>Рецепты!C7</f>
        <v>MgSO4*7H2O</v>
      </c>
      <c r="L1" s="94" t="str">
        <f>Рецепты!C8</f>
        <v xml:space="preserve">MgCI2 * 6Н20 </v>
      </c>
      <c r="M1" s="94"/>
      <c r="N1" s="65" t="s">
        <v>309</v>
      </c>
    </row>
    <row r="2" spans="1:14">
      <c r="B2" s="99" t="str">
        <f>NSW!A3</f>
        <v>Na</v>
      </c>
      <c r="C2" s="99">
        <v>10.752000000000001</v>
      </c>
      <c r="D2" s="368">
        <f>NSW!B3</f>
        <v>10.740242857142857</v>
      </c>
      <c r="I2">
        <f>C2-C22*Реактивы!H9</f>
        <v>10.697366758254141</v>
      </c>
      <c r="J2">
        <f>I2-C16*Реактивы!H3</f>
        <v>0</v>
      </c>
      <c r="N2" s="97">
        <f>(E16*Реактивы!H3+E22*Реактивы!H9-C2)/C2</f>
        <v>1.0218588245245833E-5</v>
      </c>
    </row>
    <row r="3" spans="1:14">
      <c r="B3" s="99" t="str">
        <f>NSW!A2</f>
        <v>Cl</v>
      </c>
      <c r="C3" s="99">
        <v>19.344999999999999</v>
      </c>
      <c r="D3" s="368">
        <f>NSW!B2</f>
        <v>19.356057142857143</v>
      </c>
      <c r="E3">
        <f>C3-C30*Реактивы!K17</f>
        <v>18.566590818363274</v>
      </c>
      <c r="F3">
        <f>C3-C30*Реактивы!K18</f>
        <v>18.915767568452505</v>
      </c>
      <c r="H3">
        <f>F3-C20*Реактивы!K7</f>
        <v>18.564245848699219</v>
      </c>
      <c r="J3">
        <f>F3-C16*Реактивы!K3</f>
        <v>2.4191584774476205</v>
      </c>
      <c r="L3">
        <f>J3-C18*Реактивы!K5</f>
        <v>0.3290079218933033</v>
      </c>
      <c r="N3" s="97">
        <f>(E16*Реактивы!K3+Расчеты1!E18*Реактивы!K5+E20*Расчеты1!G7+Расчеты1!E30*Расчеты1!G6+Расчеты1!E31*Реактивы!K18-C3)/C3</f>
        <v>-2.3830438338251807E-2</v>
      </c>
    </row>
    <row r="4" spans="1:14">
      <c r="B4" s="99" t="str">
        <f>NSW!A4</f>
        <v>SO4</v>
      </c>
      <c r="C4" s="99">
        <v>2.7</v>
      </c>
      <c r="D4" s="368">
        <f>NSW!B4</f>
        <v>2.7092955178293701</v>
      </c>
      <c r="K4">
        <f>C4-C17*Реактивы!K4</f>
        <v>0</v>
      </c>
      <c r="N4" s="97">
        <f>(E17*Реактивы!K4-C4)/C4</f>
        <v>-6.5032716069070138E-5</v>
      </c>
    </row>
    <row r="5" spans="1:14">
      <c r="B5" s="99" t="str">
        <f>NSW!A5</f>
        <v>Mg</v>
      </c>
      <c r="C5" s="99">
        <v>1.4</v>
      </c>
      <c r="D5" s="368">
        <f>NSW!B5</f>
        <v>1.3053857142857141</v>
      </c>
      <c r="K5">
        <f>C5-C17*Реактивы!H4</f>
        <v>0.71666347427067612</v>
      </c>
      <c r="L5">
        <f>K5-C18*Реактивы!H5</f>
        <v>0</v>
      </c>
      <c r="N5" s="97">
        <f>(C17*Реактивы!H4+C18*Реактивы!H5-C5)/C5</f>
        <v>0</v>
      </c>
    </row>
    <row r="6" spans="1:14">
      <c r="B6" s="99" t="str">
        <f>NSW!A6</f>
        <v>Ca</v>
      </c>
      <c r="C6" s="99">
        <v>0.44</v>
      </c>
      <c r="D6" s="368">
        <f>NSW!B6</f>
        <v>0.41118333333333329</v>
      </c>
      <c r="E6">
        <f>C6-C30*Реактивы!H17</f>
        <v>0</v>
      </c>
      <c r="N6" s="97">
        <f>(E30*Реактивы!H17-C6)/C6</f>
        <v>5.3922330077954047E-5</v>
      </c>
    </row>
    <row r="7" spans="1:14">
      <c r="B7" s="99" t="str">
        <f>NSW!A7</f>
        <v>K</v>
      </c>
      <c r="C7" s="99">
        <v>0.42</v>
      </c>
      <c r="D7" s="368">
        <f>NSW!B7</f>
        <v>0.3910142857142857</v>
      </c>
      <c r="G7">
        <f>C7-C24*Реактивы!H11</f>
        <v>0.38770209251101317</v>
      </c>
      <c r="H7">
        <f>G7-C20*Реактивы!H7</f>
        <v>0</v>
      </c>
      <c r="N7" s="97">
        <f>(E20*Реактивы!H7+E24*Реактивы!H11-C7)/C7</f>
        <v>-5.1254094462546826E-4</v>
      </c>
    </row>
    <row r="8" spans="1:14">
      <c r="B8" s="99" t="str">
        <f>NSW!A8</f>
        <v xml:space="preserve">HCO3 </v>
      </c>
      <c r="C8" s="99">
        <v>0.14499999999999999</v>
      </c>
      <c r="D8" s="368">
        <f>NSW!B8</f>
        <v>0.13083052722433608</v>
      </c>
      <c r="I8">
        <f>C8-C22*Реактивы!K9</f>
        <v>0</v>
      </c>
      <c r="N8" s="97">
        <f>(E22*Реактивы!K9-C8)/C8</f>
        <v>1.8371602391100389E-3</v>
      </c>
    </row>
    <row r="9" spans="1:14">
      <c r="B9" s="99" t="str">
        <f>NSW!A9</f>
        <v>Br</v>
      </c>
      <c r="C9" s="99">
        <v>6.6000000000000003E-2</v>
      </c>
      <c r="D9" s="368">
        <f>NSW!B9</f>
        <v>6.708571428571429E-2</v>
      </c>
      <c r="G9">
        <f>C9-C24*Реактивы!K11</f>
        <v>0</v>
      </c>
      <c r="N9" s="97">
        <f>C24*Реактивы!K11-C9</f>
        <v>0</v>
      </c>
    </row>
    <row r="10" spans="1:14">
      <c r="B10" s="99" t="str">
        <f>NSW!A10</f>
        <v>Н3ВО3</v>
      </c>
      <c r="C10" s="99">
        <v>1.54E-2</v>
      </c>
      <c r="D10" s="368">
        <f>NSW!B10</f>
        <v>2.4815278710836847E-2</v>
      </c>
      <c r="N10" s="97">
        <f>(C25-C10)/C10</f>
        <v>0</v>
      </c>
    </row>
    <row r="11" spans="1:14">
      <c r="B11" s="99" t="str">
        <f>NSW!A11</f>
        <v>Sr</v>
      </c>
      <c r="C11" s="99">
        <v>1.2999999999999999E-2</v>
      </c>
      <c r="D11" s="368">
        <f>NSW!B11</f>
        <v>8.0257142857142871E-3</v>
      </c>
      <c r="F11">
        <f>C11-C31*Реактивы!H18</f>
        <v>0</v>
      </c>
      <c r="N11" s="97">
        <f>C31*Реактивы!H18</f>
        <v>1.2999999999999999E-2</v>
      </c>
    </row>
    <row r="12" spans="1:14">
      <c r="B12" s="99" t="str">
        <f>NSW!A12</f>
        <v>F</v>
      </c>
      <c r="C12" s="99">
        <v>1.2999999999999999E-3</v>
      </c>
      <c r="D12" s="368">
        <f>NSW!B12</f>
        <v>1.2866666666666666E-3</v>
      </c>
      <c r="N12" s="97">
        <f>(C26*Реактивы!K13-C12)/C12</f>
        <v>0</v>
      </c>
    </row>
    <row r="13" spans="1:14">
      <c r="B13" s="99" t="str">
        <f>NSW!A13</f>
        <v>I</v>
      </c>
      <c r="C13" s="99">
        <v>2.0000000000000001E-4</v>
      </c>
      <c r="D13" s="368">
        <f>NSW!B13</f>
        <v>6.3333333333333332E-5</v>
      </c>
      <c r="N13" s="97">
        <f>E34*Реактивы!K28</f>
        <v>1.9875664148624714E-4</v>
      </c>
    </row>
    <row r="15" spans="1:14">
      <c r="E15" s="96" t="s">
        <v>321</v>
      </c>
    </row>
    <row r="16" spans="1:14">
      <c r="A16">
        <v>1</v>
      </c>
      <c r="B16" s="147" t="str">
        <f>VLOOKUP(A16,Рецепты!B5:D23,2)</f>
        <v>NaCl</v>
      </c>
      <c r="C16">
        <f>I2/Реактивы!H3</f>
        <v>27.193975849259026</v>
      </c>
      <c r="E16" s="137">
        <f>ROUND(C16,3)</f>
        <v>27.193999999999999</v>
      </c>
    </row>
    <row r="17" spans="1:5">
      <c r="A17">
        <v>2</v>
      </c>
      <c r="B17" s="147" t="str">
        <f>VLOOKUP(A17,Рецепты!B6:D24,2)</f>
        <v>MgSO4*7H2O</v>
      </c>
      <c r="C17">
        <f>C4/Реактивы!K4</f>
        <v>6.9274505109221591</v>
      </c>
      <c r="E17" s="137">
        <f>ROUND(C17,3)</f>
        <v>6.9269999999999996</v>
      </c>
    </row>
    <row r="18" spans="1:5">
      <c r="A18">
        <v>3</v>
      </c>
      <c r="B18" s="147" t="str">
        <f>VLOOKUP(A18,Рецепты!B7:D25,2)</f>
        <v xml:space="preserve">MgCI2 * 6Н20 </v>
      </c>
      <c r="C18">
        <f>K5/Реактивы!H5</f>
        <v>5.9927828914803234</v>
      </c>
      <c r="E18" s="137">
        <f>ROUND(C18,3)</f>
        <v>5.9930000000000003</v>
      </c>
    </row>
    <row r="19" spans="1:5">
      <c r="A19">
        <v>4</v>
      </c>
      <c r="B19" s="147" t="str">
        <f>VLOOKUP(A19,Рецепты!B8:D26,2)</f>
        <v>Na2SO4 * 10H2O</v>
      </c>
    </row>
    <row r="20" spans="1:5">
      <c r="A20">
        <v>5</v>
      </c>
      <c r="B20" s="147" t="str">
        <f>VLOOKUP(A20,Рецепты!B9:D27,2)</f>
        <v>KCl</v>
      </c>
      <c r="C20">
        <f>G7/Реактивы!H7</f>
        <v>0.73922381226429823</v>
      </c>
      <c r="E20" s="137">
        <f>ROUND(C20,3)</f>
        <v>0.73899999999999999</v>
      </c>
    </row>
    <row r="21" spans="1:5">
      <c r="A21">
        <v>6</v>
      </c>
      <c r="B21" s="147" t="str">
        <f>VLOOKUP(A21,Рецепты!B10:D28,2)</f>
        <v>K2SO4</v>
      </c>
    </row>
    <row r="22" spans="1:5">
      <c r="A22">
        <v>7</v>
      </c>
      <c r="B22" s="147" t="str">
        <f>VLOOKUP(A22,Рецепты!B11:D29,2)</f>
        <v xml:space="preserve">NaHCO3 </v>
      </c>
      <c r="C22">
        <f>C8/Реактивы!K9</f>
        <v>0.19963324174585989</v>
      </c>
      <c r="E22" s="66">
        <f>ROUND(C22,3)</f>
        <v>0.2</v>
      </c>
    </row>
    <row r="23" spans="1:5">
      <c r="A23">
        <v>8</v>
      </c>
      <c r="B23" s="147" t="str">
        <f>VLOOKUP(A23,Рецепты!B12:D30,2)</f>
        <v>Na2CO3</v>
      </c>
    </row>
    <row r="24" spans="1:5">
      <c r="A24">
        <v>9</v>
      </c>
      <c r="B24" s="147" t="str">
        <f>VLOOKUP(A24,Рецепты!B13:D31,2)</f>
        <v>KBr</v>
      </c>
      <c r="C24">
        <f>C9/Реактивы!K11</f>
        <v>9.8297907488986785E-2</v>
      </c>
      <c r="E24" s="138">
        <f>ROUND(C24,3)</f>
        <v>9.8000000000000004E-2</v>
      </c>
    </row>
    <row r="25" spans="1:5">
      <c r="A25">
        <v>10</v>
      </c>
      <c r="B25" s="147" t="str">
        <f>VLOOKUP(A25,Рецепты!B14:D32,2)</f>
        <v>Н3ВО3</v>
      </c>
      <c r="C25">
        <f>C10</f>
        <v>1.54E-2</v>
      </c>
      <c r="E25" s="66">
        <f>ROUND(C25,3)</f>
        <v>1.4999999999999999E-2</v>
      </c>
    </row>
    <row r="26" spans="1:5">
      <c r="A26">
        <v>11</v>
      </c>
      <c r="B26" s="147" t="str">
        <f>VLOOKUP(A26,Рецепты!B15:D33,2)</f>
        <v>LiF</v>
      </c>
      <c r="C26">
        <f>C12/Реактивы!K13</f>
        <v>1.7749505221492333E-3</v>
      </c>
      <c r="E26" s="66">
        <f>ROUND(C26,3)</f>
        <v>2E-3</v>
      </c>
    </row>
    <row r="27" spans="1:5">
      <c r="A27">
        <v>12</v>
      </c>
      <c r="B27" s="147" t="str">
        <f>VLOOKUP(A27,Рецепты!B16:D34,2)</f>
        <v>KF * 2H2O</v>
      </c>
    </row>
    <row r="28" spans="1:5">
      <c r="A28">
        <v>13</v>
      </c>
      <c r="B28" s="147" t="str">
        <f>VLOOKUP(A28,Рецепты!B17:D35,2)</f>
        <v>NaF</v>
      </c>
      <c r="E28" s="66"/>
    </row>
    <row r="29" spans="1:5">
      <c r="A29">
        <v>14</v>
      </c>
      <c r="B29" s="147" t="str">
        <f>VLOOKUP(A29,Рецепты!B18:D36,2)</f>
        <v>Na2SiO3</v>
      </c>
    </row>
    <row r="30" spans="1:5">
      <c r="A30">
        <v>15</v>
      </c>
      <c r="B30" s="147" t="str">
        <f>VLOOKUP(A30,Рецепты!B19:D37,2)</f>
        <v xml:space="preserve">CaCI2 * 2Н20 </v>
      </c>
      <c r="C30">
        <f>C6/Реактивы!H17</f>
        <v>1.6139129740518963</v>
      </c>
      <c r="E30" s="137">
        <f>ROUND(C30,3)</f>
        <v>1.6140000000000001</v>
      </c>
    </row>
    <row r="31" spans="1:5">
      <c r="A31">
        <v>16</v>
      </c>
      <c r="B31" s="147" t="str">
        <f>VLOOKUP(A31,Рецепты!B20:D38,2)</f>
        <v xml:space="preserve">SrCI2 * 6Н20 </v>
      </c>
      <c r="C31">
        <f>C11/Реактивы!H18</f>
        <v>3.9555845697329374E-2</v>
      </c>
      <c r="E31" s="66">
        <f>ROUND(C31,3)</f>
        <v>0.04</v>
      </c>
    </row>
    <row r="32" spans="1:5">
      <c r="A32">
        <v>17</v>
      </c>
      <c r="B32" s="147" t="str">
        <f>VLOOKUP(A32,Рецепты!B21:D39,2)</f>
        <v>SrCO3</v>
      </c>
    </row>
    <row r="33" spans="2:5">
      <c r="B33" s="57"/>
    </row>
    <row r="34" spans="2:5">
      <c r="B34" s="148" t="s">
        <v>307</v>
      </c>
      <c r="C34">
        <f>C13/Реактивы!K28</f>
        <v>2.6162647754137118E-4</v>
      </c>
      <c r="E34" s="66">
        <f>ROUND(C34,5)</f>
        <v>2.5999999999999998E-4</v>
      </c>
    </row>
  </sheetData>
  <phoneticPr fontId="76" type="noConversion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activeCell="K20" sqref="K20"/>
    </sheetView>
  </sheetViews>
  <sheetFormatPr defaultRowHeight="15"/>
  <cols>
    <col min="1" max="1" width="3.85546875" customWidth="1"/>
    <col min="2" max="2" width="15.42578125" customWidth="1"/>
    <col min="3" max="3" width="11" bestFit="1" customWidth="1"/>
    <col min="4" max="4" width="4.140625" customWidth="1"/>
    <col min="5" max="5" width="9.140625" customWidth="1"/>
    <col min="6" max="6" width="8.7109375" customWidth="1"/>
    <col min="7" max="7" width="7.140625" customWidth="1"/>
    <col min="8" max="8" width="7.28515625" customWidth="1"/>
    <col min="9" max="9" width="8.7109375" customWidth="1"/>
    <col min="10" max="10" width="10.7109375" customWidth="1"/>
    <col min="11" max="11" width="9.7109375" customWidth="1"/>
    <col min="12" max="12" width="9.85546875" customWidth="1"/>
  </cols>
  <sheetData>
    <row r="1" spans="1:14">
      <c r="E1" s="94" t="s">
        <v>437</v>
      </c>
      <c r="F1" s="94" t="s">
        <v>438</v>
      </c>
      <c r="G1" s="94" t="s">
        <v>127</v>
      </c>
      <c r="H1" s="94" t="s">
        <v>430</v>
      </c>
      <c r="I1" s="94" t="s">
        <v>439</v>
      </c>
      <c r="J1" s="94" t="s">
        <v>440</v>
      </c>
      <c r="K1" s="94" t="s">
        <v>433</v>
      </c>
      <c r="L1" s="94" t="s">
        <v>125</v>
      </c>
      <c r="M1" s="94"/>
      <c r="N1" s="65" t="s">
        <v>309</v>
      </c>
    </row>
    <row r="2" spans="1:14">
      <c r="B2" s="99" t="str">
        <f>NSW!A3</f>
        <v>Na</v>
      </c>
      <c r="C2" s="99">
        <f>NSW!B3</f>
        <v>10.740242857142857</v>
      </c>
      <c r="I2">
        <f>C2-C22*Реактивы!H9</f>
        <v>10.690948403200888</v>
      </c>
      <c r="J2">
        <f>I2-C19*Реактивы!H6</f>
        <v>9.6047450259301623</v>
      </c>
      <c r="L2">
        <f>J2-C16*Реактивы!H3</f>
        <v>-2.1503949047225746E-3</v>
      </c>
      <c r="N2" s="97">
        <f>(E16*Реактивы!H3+E19*Реактивы!H6+E22*Реактивы!H9-C2)/C2</f>
        <v>2.0270892198264793E-4</v>
      </c>
    </row>
    <row r="3" spans="1:14">
      <c r="B3" s="99" t="str">
        <f>NSW!A2</f>
        <v>Cl</v>
      </c>
      <c r="C3" s="99">
        <f>NSW!B2</f>
        <v>19.356057142857143</v>
      </c>
      <c r="E3">
        <f>C3-C30*Реактивы!K17</f>
        <v>18.628627865578366</v>
      </c>
      <c r="F3">
        <f>E3-C31*Реактивы!K18</f>
        <v>18.622133100717114</v>
      </c>
      <c r="K3">
        <f>F3-C18*Реактивы!K5</f>
        <v>14.814972872963626</v>
      </c>
      <c r="L3">
        <f>K3-C16*Реактивы!K3</f>
        <v>0</v>
      </c>
      <c r="N3" s="97">
        <f>(E16*Реактивы!K3+Расчеты2!E18*Реактивы!K5+E20*Реактивы!K7+Расчеты2!E30*Реактивы!K17+Расчеты2!E31*Реактивы!K18-C3)/C3</f>
        <v>-1.8151785886233189E-6</v>
      </c>
    </row>
    <row r="4" spans="1:14">
      <c r="B4" s="99" t="str">
        <f>NSW!A4</f>
        <v>SO4</v>
      </c>
      <c r="C4" s="99">
        <f>NSW!B4</f>
        <v>2.7092955178293701</v>
      </c>
      <c r="H4">
        <f>C4-C21*Реактивы!K8</f>
        <v>2.2693201842997661</v>
      </c>
      <c r="J4">
        <f>H4-C19*Реактивы!K6</f>
        <v>0</v>
      </c>
      <c r="N4" s="97">
        <f>(E19*Реактивы!K6+E21*Реактивы!K8-C4)/C4</f>
        <v>-2.5586452169383643E-5</v>
      </c>
    </row>
    <row r="5" spans="1:14">
      <c r="B5" s="99" t="str">
        <f>NSW!A5</f>
        <v>Mg</v>
      </c>
      <c r="C5" s="99">
        <f>NSW!B5</f>
        <v>1.3053857142857141</v>
      </c>
      <c r="K5">
        <f>C5-C18*Реактивы!H5</f>
        <v>0</v>
      </c>
      <c r="N5" s="97">
        <f>(C17*Реактивы!H4+C18*Реактивы!H5-C5)/C5</f>
        <v>0</v>
      </c>
    </row>
    <row r="6" spans="1:14">
      <c r="B6" s="99" t="str">
        <f>NSW!A6</f>
        <v>Ca</v>
      </c>
      <c r="C6" s="99">
        <f>NSW!B6</f>
        <v>0.41118333333333329</v>
      </c>
      <c r="E6">
        <f>C6-C30*Реактивы!H17</f>
        <v>0</v>
      </c>
      <c r="N6" s="97">
        <f>(E30*Реактивы!H17-C6)/C6</f>
        <v>-1.4182395800348949E-4</v>
      </c>
    </row>
    <row r="7" spans="1:14">
      <c r="B7" s="99" t="str">
        <f>NSW!A7</f>
        <v>K</v>
      </c>
      <c r="C7" s="99">
        <f>NSW!B7</f>
        <v>0.3910142857142857</v>
      </c>
      <c r="G7">
        <f>C7-C24*Реактивы!H11</f>
        <v>0.35818507065621602</v>
      </c>
      <c r="H7">
        <f>G7-C21*Реактивы!H8</f>
        <v>0</v>
      </c>
      <c r="N7" s="97">
        <f>(E20*Реактивы!H7+E21*Реактивы!H8+E24*Реактивы!H11-C7)/C7</f>
        <v>-1.1260892665089823E-4</v>
      </c>
    </row>
    <row r="8" spans="1:14">
      <c r="B8" s="99" t="str">
        <f>NSW!A8</f>
        <v xml:space="preserve">HCO3 </v>
      </c>
      <c r="C8" s="99">
        <f>NSW!B8</f>
        <v>0.13083052722433608</v>
      </c>
      <c r="I8">
        <f>C8-C22*Реактивы!K9</f>
        <v>0</v>
      </c>
      <c r="N8" s="97">
        <f>(E22*Реактивы!K9-C8)/C8</f>
        <v>-6.9385803954290367E-4</v>
      </c>
    </row>
    <row r="9" spans="1:14">
      <c r="B9" s="99" t="str">
        <f>NSW!A9</f>
        <v>Br</v>
      </c>
      <c r="C9" s="99">
        <f>NSW!B9</f>
        <v>6.708571428571429E-2</v>
      </c>
      <c r="G9">
        <f>C9-C24*Реактивы!K11</f>
        <v>0</v>
      </c>
      <c r="N9" s="97">
        <f>C24*Реактивы!K11-C9</f>
        <v>0</v>
      </c>
    </row>
    <row r="10" spans="1:14">
      <c r="B10" s="99" t="str">
        <f>NSW!A10</f>
        <v>Н3ВО3</v>
      </c>
      <c r="C10" s="99">
        <f>NSW!B10</f>
        <v>2.4815278710836847E-2</v>
      </c>
      <c r="N10" s="97">
        <f>(C25-C10)/C10</f>
        <v>0</v>
      </c>
    </row>
    <row r="11" spans="1:14">
      <c r="B11" s="99" t="str">
        <f>NSW!A11</f>
        <v>Sr</v>
      </c>
      <c r="C11" s="99">
        <f>NSW!B11</f>
        <v>8.0257142857142871E-3</v>
      </c>
      <c r="F11">
        <f>C11-C31*Реактивы!H18</f>
        <v>0</v>
      </c>
      <c r="N11" s="97">
        <f>C31*Реактивы!H18</f>
        <v>8.0257142857142871E-3</v>
      </c>
    </row>
    <row r="12" spans="1:14">
      <c r="B12" s="99" t="str">
        <f>NSW!A12</f>
        <v>F</v>
      </c>
      <c r="C12" s="99">
        <f>NSW!B12</f>
        <v>1.2866666666666666E-3</v>
      </c>
      <c r="N12" s="97">
        <f>(C26*Реактивы!K13-C12)/C12</f>
        <v>0</v>
      </c>
    </row>
    <row r="13" spans="1:14">
      <c r="B13" s="99" t="str">
        <f>NSW!A13</f>
        <v>I</v>
      </c>
      <c r="C13" s="99">
        <f>NSW!B13</f>
        <v>6.3333333333333332E-5</v>
      </c>
      <c r="N13" s="97">
        <f>E34*Реактивы!K28</f>
        <v>6.1155889688076052E-5</v>
      </c>
    </row>
    <row r="15" spans="1:14">
      <c r="E15" s="96" t="s">
        <v>321</v>
      </c>
    </row>
    <row r="16" spans="1:14">
      <c r="A16">
        <v>1</v>
      </c>
      <c r="B16" s="147" t="str">
        <f>VLOOKUP(A16,Рецепты!B5:D23,2)</f>
        <v>NaCl</v>
      </c>
      <c r="C16">
        <f>K3/Реактивы!K3</f>
        <v>24.421868293798511</v>
      </c>
      <c r="E16" s="137">
        <f t="shared" ref="E16:E32" si="0">ROUND(C16,3)</f>
        <v>24.422000000000001</v>
      </c>
    </row>
    <row r="17" spans="1:5">
      <c r="A17">
        <v>2</v>
      </c>
      <c r="B17" s="147" t="str">
        <f>VLOOKUP(A17,Рецепты!B6:D24,2)</f>
        <v>MgSO4*7H2O</v>
      </c>
      <c r="E17" s="137">
        <f t="shared" si="0"/>
        <v>0</v>
      </c>
    </row>
    <row r="18" spans="1:5">
      <c r="A18">
        <v>3</v>
      </c>
      <c r="B18" s="147" t="str">
        <f>VLOOKUP(A18,Рецепты!B7:D25,2)</f>
        <v xml:space="preserve">MgCI2 * 6Н20 </v>
      </c>
      <c r="C18">
        <f>C5/Реактивы!H5</f>
        <v>10.91571351995487</v>
      </c>
      <c r="E18" s="137">
        <f t="shared" si="0"/>
        <v>10.916</v>
      </c>
    </row>
    <row r="19" spans="1:5">
      <c r="A19">
        <v>4</v>
      </c>
      <c r="B19" s="147" t="str">
        <f>VLOOKUP(A19,Рецепты!B8:D26,2)</f>
        <v>Na2SO4 * 10H2O</v>
      </c>
      <c r="C19">
        <f>H4/Реактивы!K6</f>
        <v>7.61093594361133</v>
      </c>
      <c r="E19" s="137">
        <f t="shared" si="0"/>
        <v>7.6109999999999998</v>
      </c>
    </row>
    <row r="20" spans="1:5">
      <c r="A20">
        <v>5</v>
      </c>
      <c r="B20" s="147" t="str">
        <f>VLOOKUP(A20,Рецепты!B9:D27,2)</f>
        <v>KCl</v>
      </c>
      <c r="E20" s="137">
        <f t="shared" si="0"/>
        <v>0</v>
      </c>
    </row>
    <row r="21" spans="1:5">
      <c r="A21">
        <v>6</v>
      </c>
      <c r="B21" s="147" t="str">
        <f>VLOOKUP(A21,Рецепты!B10:D28,2)</f>
        <v>K2SO4</v>
      </c>
      <c r="C21">
        <f>G7/Реактивы!H8</f>
        <v>0.79816040418582024</v>
      </c>
      <c r="E21" s="137">
        <f t="shared" si="0"/>
        <v>0.79800000000000004</v>
      </c>
    </row>
    <row r="22" spans="1:5">
      <c r="A22">
        <v>7</v>
      </c>
      <c r="B22" s="147" t="str">
        <f>VLOOKUP(A22,Рецепты!B11:D29,2)</f>
        <v xml:space="preserve">NaHCO3 </v>
      </c>
      <c r="C22">
        <f>C8/Реактивы!K9</f>
        <v>0.18012498116630477</v>
      </c>
      <c r="E22" s="66">
        <f t="shared" si="0"/>
        <v>0.18</v>
      </c>
    </row>
    <row r="23" spans="1:5">
      <c r="A23">
        <v>8</v>
      </c>
      <c r="B23" s="147" t="str">
        <f>VLOOKUP(A23,Рецепты!B12:D30,2)</f>
        <v>Na2CO3</v>
      </c>
      <c r="E23" s="66">
        <f t="shared" si="0"/>
        <v>0</v>
      </c>
    </row>
    <row r="24" spans="1:5">
      <c r="A24">
        <v>9</v>
      </c>
      <c r="B24" s="147" t="str">
        <f>VLOOKUP(A24,Рецепты!B13:D31,2)</f>
        <v>KBr</v>
      </c>
      <c r="C24">
        <f>C9/Реактивы!K11</f>
        <v>9.9914929343783973E-2</v>
      </c>
      <c r="D24">
        <v>3</v>
      </c>
      <c r="E24" s="138">
        <f t="shared" si="0"/>
        <v>0.1</v>
      </c>
    </row>
    <row r="25" spans="1:5">
      <c r="A25">
        <v>10</v>
      </c>
      <c r="B25" s="147" t="str">
        <f>VLOOKUP(A25,Рецепты!B14:D32,2)</f>
        <v>Н3ВО3</v>
      </c>
      <c r="C25">
        <f>C10</f>
        <v>2.4815278710836847E-2</v>
      </c>
      <c r="E25" s="66">
        <f t="shared" si="0"/>
        <v>2.5000000000000001E-2</v>
      </c>
    </row>
    <row r="26" spans="1:5">
      <c r="A26">
        <v>11</v>
      </c>
      <c r="B26" s="147" t="str">
        <f>VLOOKUP(A26,Рецепты!B15:D33,2)</f>
        <v>LiF</v>
      </c>
      <c r="C26">
        <f>C12/Реактивы!K13</f>
        <v>1.7567459014092412E-3</v>
      </c>
      <c r="E26" s="66">
        <f t="shared" si="0"/>
        <v>2E-3</v>
      </c>
    </row>
    <row r="27" spans="1:5">
      <c r="A27">
        <v>12</v>
      </c>
      <c r="B27" s="147" t="str">
        <f>VLOOKUP(A27,Рецепты!B16:D34,2)</f>
        <v>KF * 2H2O</v>
      </c>
      <c r="E27" s="66">
        <f t="shared" si="0"/>
        <v>0</v>
      </c>
    </row>
    <row r="28" spans="1:5">
      <c r="A28">
        <v>13</v>
      </c>
      <c r="B28" s="147" t="str">
        <f>VLOOKUP(A28,Рецепты!B17:D35,2)</f>
        <v>NaF</v>
      </c>
      <c r="E28" s="66">
        <f t="shared" si="0"/>
        <v>0</v>
      </c>
    </row>
    <row r="29" spans="1:5">
      <c r="A29">
        <v>14</v>
      </c>
      <c r="B29" s="147" t="str">
        <f>VLOOKUP(A29,Рецепты!B18:D36,2)</f>
        <v>Na2SiO3</v>
      </c>
      <c r="E29" s="66">
        <f t="shared" si="0"/>
        <v>0</v>
      </c>
    </row>
    <row r="30" spans="1:5">
      <c r="A30">
        <v>15</v>
      </c>
      <c r="B30" s="147" t="str">
        <f>VLOOKUP(A30,Рецепты!B19:D37,2)</f>
        <v xml:space="preserve">CaCI2 * 2Н20 </v>
      </c>
      <c r="C30">
        <f>C6/Реактивы!H17</f>
        <v>1.5082139008649367</v>
      </c>
      <c r="D30">
        <v>1</v>
      </c>
      <c r="E30" s="137">
        <f t="shared" si="0"/>
        <v>1.508</v>
      </c>
    </row>
    <row r="31" spans="1:5">
      <c r="A31">
        <v>16</v>
      </c>
      <c r="B31" s="147" t="str">
        <f>VLOOKUP(A31,Рецепты!B20:D38,2)</f>
        <v xml:space="preserve">SrCI2 * 6Н20 </v>
      </c>
      <c r="C31">
        <f>C11/Реактивы!H18</f>
        <v>2.4420301222812801E-2</v>
      </c>
      <c r="D31">
        <v>2</v>
      </c>
      <c r="E31" s="66">
        <f t="shared" si="0"/>
        <v>2.4E-2</v>
      </c>
    </row>
    <row r="32" spans="1:5">
      <c r="A32">
        <v>17</v>
      </c>
      <c r="B32" s="147" t="str">
        <f>VLOOKUP(A32,Рецепты!B21:D39,2)</f>
        <v>SrCO3</v>
      </c>
      <c r="E32" s="66">
        <f t="shared" si="0"/>
        <v>0</v>
      </c>
    </row>
    <row r="33" spans="2:5">
      <c r="B33" s="57"/>
    </row>
    <row r="34" spans="2:5">
      <c r="B34" s="148" t="s">
        <v>307</v>
      </c>
      <c r="C34">
        <f>C13/Реактивы!K28</f>
        <v>8.2848384554767536E-5</v>
      </c>
      <c r="E34" s="66">
        <f>ROUND(C34,5)</f>
        <v>8.0000000000000007E-5</v>
      </c>
    </row>
  </sheetData>
  <phoneticPr fontId="76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workbookViewId="0">
      <selection activeCell="C5" sqref="C5"/>
    </sheetView>
  </sheetViews>
  <sheetFormatPr defaultRowHeight="15"/>
  <cols>
    <col min="1" max="1" width="3.85546875" customWidth="1"/>
    <col min="2" max="2" width="15.42578125" customWidth="1"/>
    <col min="3" max="3" width="11" bestFit="1" customWidth="1"/>
    <col min="4" max="4" width="4.140625" customWidth="1"/>
    <col min="5" max="5" width="9.140625" customWidth="1"/>
    <col min="6" max="6" width="8.7109375" customWidth="1"/>
    <col min="7" max="7" width="7.140625" customWidth="1"/>
    <col min="8" max="8" width="7.28515625" customWidth="1"/>
    <col min="9" max="9" width="8.7109375" customWidth="1"/>
    <col min="10" max="10" width="8.28515625" customWidth="1"/>
    <col min="11" max="11" width="9.7109375" customWidth="1"/>
    <col min="12" max="12" width="9.85546875" customWidth="1"/>
  </cols>
  <sheetData>
    <row r="1" spans="1:19">
      <c r="E1" s="94" t="str">
        <f>B30</f>
        <v xml:space="preserve">CaCI2 * 2Н20 </v>
      </c>
      <c r="F1" s="94" t="str">
        <f>B31</f>
        <v xml:space="preserve">SrCI2 * 6Н20 </v>
      </c>
      <c r="G1" s="94" t="str">
        <f>Рецепты!C14</f>
        <v>KBr</v>
      </c>
      <c r="H1" s="94" t="str">
        <f>Рецепты!C10</f>
        <v>KCl</v>
      </c>
      <c r="I1" s="94" t="str">
        <f>Рецепты!C12</f>
        <v xml:space="preserve">NaHCO3 </v>
      </c>
      <c r="J1" s="94" t="str">
        <f>Рецепты!C6</f>
        <v>NaCl</v>
      </c>
      <c r="K1" s="94" t="str">
        <f>Рецепты!C7</f>
        <v>MgSO4*7H2O</v>
      </c>
      <c r="L1" s="94" t="str">
        <f>Рецепты!C8</f>
        <v xml:space="preserve">MgCI2 * 6Н20 </v>
      </c>
      <c r="M1" s="94"/>
      <c r="N1" s="65" t="s">
        <v>309</v>
      </c>
      <c r="P1" s="183" t="s">
        <v>459</v>
      </c>
      <c r="Q1" s="183" t="s">
        <v>161</v>
      </c>
      <c r="R1" s="183" t="s">
        <v>459</v>
      </c>
      <c r="S1" s="183" t="s">
        <v>161</v>
      </c>
    </row>
    <row r="2" spans="1:19">
      <c r="B2" s="99" t="str">
        <f>NSW!A3</f>
        <v>Na</v>
      </c>
      <c r="C2" s="99">
        <v>10.752000000000001</v>
      </c>
      <c r="I2">
        <f>C2-C22*Реактивы!H9</f>
        <v>10.697366758254141</v>
      </c>
      <c r="J2">
        <f>I2-C16*Реактивы!H3</f>
        <v>0</v>
      </c>
      <c r="N2" s="97">
        <f>(E16*Реактивы!H3+E22*Реактивы!H9-C2)/C2</f>
        <v>1.0218588245245833E-5</v>
      </c>
      <c r="P2">
        <v>52600</v>
      </c>
      <c r="Q2">
        <v>52100</v>
      </c>
      <c r="R2" t="s">
        <v>125</v>
      </c>
      <c r="S2" t="s">
        <v>125</v>
      </c>
    </row>
    <row r="3" spans="1:19">
      <c r="B3" s="99" t="str">
        <f>NSW!A2</f>
        <v>Cl</v>
      </c>
      <c r="C3" s="99">
        <v>19.344999999999999</v>
      </c>
      <c r="E3">
        <f>C3-C30*Реактивы!K17</f>
        <v>18.609049500998005</v>
      </c>
      <c r="F3">
        <f>C3-C30*Реактивы!K18</f>
        <v>18.939180246536914</v>
      </c>
      <c r="H3">
        <f>F3-C20*Реактивы!K7</f>
        <v>18.614858925740204</v>
      </c>
      <c r="J3">
        <f>F3-C16*Реактивы!K3</f>
        <v>2.4425711555320291</v>
      </c>
      <c r="L3">
        <f>J3-C18*Реактивы!K5</f>
        <v>0.65865332455816605</v>
      </c>
      <c r="N3" s="97">
        <f>(E16*Реактивы!K3+Расчеты3!E18*Реактивы!K5+E20*Расчеты3!G7+Расчеты3!E30*Расчеты3!G6+Расчеты3!E31*Реактивы!K18-C3)/C3</f>
        <v>-4.1860216723887664E-2</v>
      </c>
      <c r="P3">
        <v>89200</v>
      </c>
      <c r="Q3">
        <v>99800</v>
      </c>
    </row>
    <row r="4" spans="1:19">
      <c r="B4" s="99" t="str">
        <f>NSW!A4</f>
        <v>SO4</v>
      </c>
      <c r="C4" s="99">
        <v>2.7</v>
      </c>
      <c r="K4">
        <f>C4-C17*Реактивы!K4</f>
        <v>0</v>
      </c>
      <c r="N4" s="97">
        <f>(E17*Реактивы!K4-C4)/C4</f>
        <v>-6.5032716069070138E-5</v>
      </c>
      <c r="P4">
        <v>25350</v>
      </c>
    </row>
    <row r="5" spans="1:19">
      <c r="B5" s="99" t="str">
        <f>NSW!A5</f>
        <v>Mg</v>
      </c>
      <c r="C5" s="99">
        <v>1.2949999999999999</v>
      </c>
      <c r="K5">
        <f>C5-C17*Реактивы!H4</f>
        <v>0.61166347427067613</v>
      </c>
      <c r="L5">
        <f>K5-C18*Реактивы!H5</f>
        <v>0</v>
      </c>
      <c r="N5" s="97">
        <f>(C17*Реактивы!H4+C18*Реактивы!H5-C5)/C5</f>
        <v>0</v>
      </c>
      <c r="P5">
        <v>9450</v>
      </c>
      <c r="Q5">
        <v>3000</v>
      </c>
      <c r="R5" t="s">
        <v>460</v>
      </c>
      <c r="S5" t="s">
        <v>461</v>
      </c>
    </row>
    <row r="6" spans="1:19">
      <c r="B6" s="99" t="str">
        <f>NSW!A6</f>
        <v>Ca</v>
      </c>
      <c r="C6" s="99">
        <v>0.41599999999999998</v>
      </c>
      <c r="E6">
        <f>C6-C30*Реактивы!H17</f>
        <v>0</v>
      </c>
      <c r="N6" s="97">
        <f>(E30*Реактивы!H17-C6)/C6</f>
        <v>7.7753564524785749E-5</v>
      </c>
      <c r="Q6">
        <v>4000</v>
      </c>
      <c r="S6" t="s">
        <v>462</v>
      </c>
    </row>
    <row r="7" spans="1:19">
      <c r="B7" s="99" t="str">
        <f>NSW!A7</f>
        <v>K</v>
      </c>
      <c r="C7" s="99">
        <v>0.39</v>
      </c>
      <c r="G7">
        <f>C7-C24*Реактивы!H11</f>
        <v>0.35770209251101326</v>
      </c>
      <c r="H7">
        <f>G7-C20*Реактивы!H7</f>
        <v>0</v>
      </c>
      <c r="N7" s="97">
        <f>(E20*Реактивы!H7+E24*Реактивы!H11-C7)/C7</f>
        <v>-2.8247072297856921E-4</v>
      </c>
      <c r="P7">
        <v>50</v>
      </c>
      <c r="Q7">
        <v>3950</v>
      </c>
      <c r="R7" t="s">
        <v>126</v>
      </c>
      <c r="S7" t="s">
        <v>126</v>
      </c>
    </row>
    <row r="8" spans="1:19">
      <c r="B8" s="99" t="str">
        <f>NSW!A8</f>
        <v xml:space="preserve">HCO3 </v>
      </c>
      <c r="C8" s="99">
        <v>0.14499999999999999</v>
      </c>
      <c r="I8">
        <f>C8-C22*Реактивы!K9</f>
        <v>0</v>
      </c>
      <c r="N8" s="97">
        <f>(E22*Реактивы!K9-C8)/C8</f>
        <v>1.8371602391100389E-3</v>
      </c>
      <c r="P8">
        <v>1450</v>
      </c>
      <c r="R8" t="s">
        <v>463</v>
      </c>
    </row>
    <row r="9" spans="1:19">
      <c r="B9" s="99" t="str">
        <f>NSW!A9</f>
        <v>Br</v>
      </c>
      <c r="C9" s="99">
        <v>6.6000000000000003E-2</v>
      </c>
      <c r="G9">
        <f>C9-C24*Реактивы!K11</f>
        <v>0</v>
      </c>
      <c r="N9" s="97">
        <f>C24*Реактивы!K11-C9</f>
        <v>0</v>
      </c>
      <c r="Q9">
        <v>600</v>
      </c>
      <c r="S9" t="s">
        <v>127</v>
      </c>
    </row>
    <row r="10" spans="1:19">
      <c r="B10" s="99" t="str">
        <f>NSW!A10</f>
        <v>Н3ВО3</v>
      </c>
      <c r="C10" s="99">
        <v>1.54E-2</v>
      </c>
      <c r="N10" s="97">
        <f>(C25-C10)/C10</f>
        <v>0</v>
      </c>
      <c r="P10">
        <v>250</v>
      </c>
      <c r="R10" t="s">
        <v>449</v>
      </c>
    </row>
    <row r="11" spans="1:19">
      <c r="B11" s="99" t="str">
        <f>NSW!A11</f>
        <v>Sr</v>
      </c>
      <c r="C11" s="99">
        <v>1.2999999999999999E-2</v>
      </c>
      <c r="F11">
        <f>C11-C31*Реактивы!H18</f>
        <v>0</v>
      </c>
      <c r="N11" s="97">
        <f>C31*Реактивы!H18</f>
        <v>1.2999999999999999E-2</v>
      </c>
      <c r="Q11">
        <v>100</v>
      </c>
    </row>
    <row r="12" spans="1:19">
      <c r="B12" s="99" t="str">
        <f>NSW!A12</f>
        <v>F</v>
      </c>
      <c r="C12" s="99">
        <v>1.2999999999999999E-3</v>
      </c>
      <c r="N12" s="97">
        <f>(C26*Реактивы!K13-C12)/C12</f>
        <v>0</v>
      </c>
    </row>
    <row r="13" spans="1:19">
      <c r="B13" s="99" t="str">
        <f>NSW!A13</f>
        <v>I</v>
      </c>
      <c r="C13" s="99">
        <v>2.0000000000000001E-4</v>
      </c>
      <c r="N13" s="97">
        <f>E34*Реактивы!K28</f>
        <v>1.9875664148624714E-4</v>
      </c>
    </row>
    <row r="15" spans="1:19">
      <c r="E15" s="96" t="s">
        <v>321</v>
      </c>
    </row>
    <row r="16" spans="1:19">
      <c r="A16">
        <v>1</v>
      </c>
      <c r="B16" s="147" t="str">
        <f>VLOOKUP(A16,Рецепты!B5:D23,2)</f>
        <v>NaCl</v>
      </c>
      <c r="C16">
        <f>I2/Реактивы!H3</f>
        <v>27.193975849259026</v>
      </c>
      <c r="E16" s="137">
        <f>ROUND(C16,3)</f>
        <v>27.193999999999999</v>
      </c>
    </row>
    <row r="17" spans="1:5">
      <c r="A17">
        <v>2</v>
      </c>
      <c r="B17" s="147" t="str">
        <f>VLOOKUP(A17,Рецепты!B6:D24,2)</f>
        <v>MgSO4*7H2O</v>
      </c>
      <c r="C17">
        <f>C4/Реактивы!K4</f>
        <v>6.9274505109221591</v>
      </c>
      <c r="E17" s="137">
        <f>ROUND(C17,3)</f>
        <v>6.9269999999999996</v>
      </c>
    </row>
    <row r="18" spans="1:5">
      <c r="A18">
        <v>3</v>
      </c>
      <c r="B18" s="147" t="str">
        <f>VLOOKUP(A18,Рецепты!B7:D25,2)</f>
        <v xml:space="preserve">MgCI2 * 6Н20 </v>
      </c>
      <c r="C18">
        <f>K5/Реактивы!H5</f>
        <v>5.1147666032276087</v>
      </c>
      <c r="E18" s="137">
        <f>ROUND(C18,3)</f>
        <v>5.1150000000000002</v>
      </c>
    </row>
    <row r="19" spans="1:5">
      <c r="A19">
        <v>4</v>
      </c>
      <c r="B19" s="147" t="str">
        <f>VLOOKUP(A19,Рецепты!B8:D26,2)</f>
        <v>Na2SO4 * 10H2O</v>
      </c>
    </row>
    <row r="20" spans="1:5">
      <c r="A20">
        <v>5</v>
      </c>
      <c r="B20" s="147" t="str">
        <f>VLOOKUP(A20,Рецепты!B9:D27,2)</f>
        <v>KCl</v>
      </c>
      <c r="C20">
        <f>G7/Реактивы!H7</f>
        <v>0.68202341330772331</v>
      </c>
      <c r="E20" s="137">
        <f>ROUND(C20,3)</f>
        <v>0.68200000000000005</v>
      </c>
    </row>
    <row r="21" spans="1:5">
      <c r="A21">
        <v>6</v>
      </c>
      <c r="B21" s="147" t="str">
        <f>VLOOKUP(A21,Рецепты!B10:D28,2)</f>
        <v>K2SO4</v>
      </c>
    </row>
    <row r="22" spans="1:5">
      <c r="A22">
        <v>7</v>
      </c>
      <c r="B22" s="147" t="str">
        <f>VLOOKUP(A22,Рецепты!B11:D29,2)</f>
        <v xml:space="preserve">NaHCO3 </v>
      </c>
      <c r="C22">
        <f>C8/Реактивы!K9</f>
        <v>0.19963324174585989</v>
      </c>
      <c r="E22" s="66">
        <f>ROUND(C22,3)</f>
        <v>0.2</v>
      </c>
    </row>
    <row r="23" spans="1:5">
      <c r="A23">
        <v>8</v>
      </c>
      <c r="B23" s="147" t="str">
        <f>VLOOKUP(A23,Рецепты!B12:D30,2)</f>
        <v>Na2CO3</v>
      </c>
    </row>
    <row r="24" spans="1:5">
      <c r="A24">
        <v>9</v>
      </c>
      <c r="B24" s="147" t="str">
        <f>VLOOKUP(A24,Рецепты!B13:D31,2)</f>
        <v>KBr</v>
      </c>
      <c r="C24">
        <f>C9/Реактивы!K11</f>
        <v>9.8297907488986785E-2</v>
      </c>
      <c r="E24" s="138">
        <f>ROUND(C24,3)</f>
        <v>9.8000000000000004E-2</v>
      </c>
    </row>
    <row r="25" spans="1:5">
      <c r="A25">
        <v>10</v>
      </c>
      <c r="B25" s="147" t="str">
        <f>VLOOKUP(A25,Рецепты!B14:D32,2)</f>
        <v>Н3ВО3</v>
      </c>
      <c r="C25">
        <f>C10</f>
        <v>1.54E-2</v>
      </c>
      <c r="E25" s="66">
        <f>ROUND(C25,3)</f>
        <v>1.4999999999999999E-2</v>
      </c>
    </row>
    <row r="26" spans="1:5">
      <c r="A26">
        <v>11</v>
      </c>
      <c r="B26" s="147" t="str">
        <f>VLOOKUP(A26,Рецепты!B15:D33,2)</f>
        <v>LiF</v>
      </c>
      <c r="C26">
        <f>C12/Реактивы!K13</f>
        <v>1.7749505221492333E-3</v>
      </c>
      <c r="E26" s="66">
        <f>ROUND(C26,3)</f>
        <v>2E-3</v>
      </c>
    </row>
    <row r="27" spans="1:5">
      <c r="A27">
        <v>12</v>
      </c>
      <c r="B27" s="147" t="str">
        <f>VLOOKUP(A27,Рецепты!B16:D34,2)</f>
        <v>KF * 2H2O</v>
      </c>
    </row>
    <row r="28" spans="1:5">
      <c r="A28">
        <v>13</v>
      </c>
      <c r="B28" s="147" t="str">
        <f>VLOOKUP(A28,Рецепты!B17:D35,2)</f>
        <v>NaF</v>
      </c>
      <c r="E28" s="66"/>
    </row>
    <row r="29" spans="1:5">
      <c r="A29">
        <v>14</v>
      </c>
      <c r="B29" s="147" t="str">
        <f>VLOOKUP(A29,Рецепты!B18:D36,2)</f>
        <v>Na2SiO3</v>
      </c>
    </row>
    <row r="30" spans="1:5">
      <c r="A30">
        <v>15</v>
      </c>
      <c r="B30" s="147" t="str">
        <f>VLOOKUP(A30,Рецепты!B19:D37,2)</f>
        <v xml:space="preserve">CaCI2 * 2Н20 </v>
      </c>
      <c r="C30">
        <f>C6/Реактивы!H17</f>
        <v>1.5258813572854291</v>
      </c>
      <c r="E30" s="137">
        <f>ROUND(C30,3)</f>
        <v>1.526</v>
      </c>
    </row>
    <row r="31" spans="1:5">
      <c r="A31">
        <v>16</v>
      </c>
      <c r="B31" s="147" t="str">
        <f>VLOOKUP(A31,Рецепты!B20:D38,2)</f>
        <v xml:space="preserve">SrCI2 * 6Н20 </v>
      </c>
      <c r="C31">
        <f>C11/Реактивы!H18</f>
        <v>3.9555845697329374E-2</v>
      </c>
      <c r="E31" s="66">
        <f>ROUND(C31,3)</f>
        <v>0.04</v>
      </c>
    </row>
    <row r="32" spans="1:5">
      <c r="A32">
        <v>17</v>
      </c>
      <c r="B32" s="147" t="str">
        <f>VLOOKUP(A32,Рецепты!B21:D39,2)</f>
        <v>SrCO3</v>
      </c>
    </row>
    <row r="33" spans="2:5">
      <c r="B33" s="57"/>
    </row>
    <row r="34" spans="2:5">
      <c r="B34" s="148" t="s">
        <v>307</v>
      </c>
      <c r="C34">
        <f>C13/Реактивы!K28</f>
        <v>2.6162647754137118E-4</v>
      </c>
      <c r="E34" s="66">
        <f>ROUND(C34,5)</f>
        <v>2.5999999999999998E-4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5" sqref="B25"/>
    </sheetView>
  </sheetViews>
  <sheetFormatPr defaultRowHeight="15"/>
  <cols>
    <col min="1" max="1" width="14.5703125" customWidth="1"/>
  </cols>
  <sheetData>
    <row r="1" spans="1:2">
      <c r="A1" t="s">
        <v>325</v>
      </c>
    </row>
    <row r="2" spans="1:2">
      <c r="A2" t="s">
        <v>326</v>
      </c>
    </row>
    <row r="3" spans="1:2">
      <c r="A3" t="s">
        <v>3</v>
      </c>
      <c r="B3" s="37">
        <v>0.06</v>
      </c>
    </row>
    <row r="4" spans="1:2">
      <c r="A4" t="s">
        <v>214</v>
      </c>
      <c r="B4" s="37">
        <v>9.7999999999999997E-3</v>
      </c>
    </row>
    <row r="5" spans="1:2">
      <c r="A5" t="s">
        <v>137</v>
      </c>
      <c r="B5" s="37">
        <v>2.9999999999999997E-4</v>
      </c>
    </row>
    <row r="6" spans="1:2">
      <c r="A6" t="s">
        <v>324</v>
      </c>
      <c r="B6" s="37">
        <v>1.4999999999999999E-2</v>
      </c>
    </row>
    <row r="7" spans="1:2">
      <c r="A7" t="s">
        <v>154</v>
      </c>
      <c r="B7" s="37">
        <v>1.0699999999999999E-2</v>
      </c>
    </row>
    <row r="8" spans="1:2">
      <c r="A8" t="s">
        <v>205</v>
      </c>
      <c r="B8" s="37">
        <v>2.3E-3</v>
      </c>
    </row>
    <row r="9" spans="1:2">
      <c r="A9" t="s">
        <v>199</v>
      </c>
      <c r="B9" s="37">
        <v>9.7999999999999997E-3</v>
      </c>
    </row>
    <row r="10" spans="1:2">
      <c r="A10" t="s">
        <v>271</v>
      </c>
      <c r="B10" s="37">
        <v>4.0000000000000002E-4</v>
      </c>
    </row>
    <row r="11" spans="1:2">
      <c r="A11" t="s">
        <v>141</v>
      </c>
      <c r="B11" s="37">
        <v>0.11799999999999999</v>
      </c>
    </row>
    <row r="12" spans="1:2">
      <c r="A12" s="89" t="s">
        <v>204</v>
      </c>
      <c r="B12">
        <f>NSW!B12</f>
        <v>1.2866666666666666E-3</v>
      </c>
    </row>
    <row r="13" spans="1:2">
      <c r="A13" t="s">
        <v>3</v>
      </c>
      <c r="B13" s="37">
        <v>0.06</v>
      </c>
    </row>
    <row r="14" spans="1:2">
      <c r="A14" t="s">
        <v>134</v>
      </c>
      <c r="B14" s="37">
        <v>0.3</v>
      </c>
    </row>
    <row r="16" spans="1:2" ht="18">
      <c r="A16" s="55" t="s">
        <v>144</v>
      </c>
      <c r="B16">
        <f>B4/Реактивы!H20</f>
        <v>4.8783704048561249E-2</v>
      </c>
    </row>
    <row r="17" spans="1:2" ht="18">
      <c r="A17" s="55" t="s">
        <v>305</v>
      </c>
      <c r="B17">
        <f>B4/Реактивы!H21</f>
        <v>7.8286008559098966E-2</v>
      </c>
    </row>
    <row r="18" spans="1:2" ht="18">
      <c r="A18" s="55" t="s">
        <v>145</v>
      </c>
      <c r="B18">
        <f>B5/Реактивы!H22</f>
        <v>1.1787111698612028E-3</v>
      </c>
    </row>
    <row r="19" spans="1:2" ht="18">
      <c r="A19" s="55" t="s">
        <v>146</v>
      </c>
      <c r="B19">
        <f>B6/Реактивы!H23</f>
        <v>6.2554573326520188E-2</v>
      </c>
    </row>
    <row r="20" spans="1:2" ht="18">
      <c r="A20" s="55" t="s">
        <v>147</v>
      </c>
      <c r="B20">
        <f>B7/Реактивы!H24</f>
        <v>4.7063206057824686E-2</v>
      </c>
    </row>
    <row r="21" spans="1:2" ht="18">
      <c r="A21" s="55" t="s">
        <v>148</v>
      </c>
      <c r="B21">
        <f>B8/Реактивы!H25</f>
        <v>7.0757927117841915E-3</v>
      </c>
    </row>
    <row r="22" spans="1:2" ht="18">
      <c r="A22" s="55" t="s">
        <v>327</v>
      </c>
      <c r="B22">
        <f>B9/Реактивы!H26</f>
        <v>2.1033860329372527E-2</v>
      </c>
    </row>
    <row r="23" spans="1:2" ht="18">
      <c r="A23" s="55" t="s">
        <v>149</v>
      </c>
      <c r="B23">
        <f>B10/Реактивы!H27</f>
        <v>1.907845492863106E-3</v>
      </c>
    </row>
    <row r="24" spans="1:2">
      <c r="A24" s="108" t="s">
        <v>132</v>
      </c>
      <c r="B24">
        <f>B14/Реактивы!H13</f>
        <v>1.1211381645296066</v>
      </c>
    </row>
    <row r="25" spans="1:2">
      <c r="A25" s="108" t="s">
        <v>338</v>
      </c>
      <c r="B25">
        <f>B11/Реактивы!H29</f>
        <v>0.16694646074646075</v>
      </c>
    </row>
    <row r="26" spans="1:2">
      <c r="A26" s="109" t="s">
        <v>307</v>
      </c>
      <c r="B26">
        <f>B3/Реактивы!K28</f>
        <v>7.8487943262411347E-2</v>
      </c>
    </row>
  </sheetData>
  <phoneticPr fontId="7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B8" sqref="B8"/>
    </sheetView>
  </sheetViews>
  <sheetFormatPr defaultRowHeight="15"/>
  <sheetData>
    <row r="1" spans="1:9" ht="15.75" thickBot="1">
      <c r="A1" s="131" t="s">
        <v>407</v>
      </c>
      <c r="B1" s="90" t="s">
        <v>408</v>
      </c>
      <c r="C1" s="135" t="s">
        <v>318</v>
      </c>
      <c r="D1" s="136" t="s">
        <v>405</v>
      </c>
      <c r="E1" s="136" t="s">
        <v>362</v>
      </c>
      <c r="F1" s="136" t="s">
        <v>404</v>
      </c>
      <c r="G1" s="131" t="s">
        <v>363</v>
      </c>
      <c r="H1" s="131" t="s">
        <v>364</v>
      </c>
      <c r="I1" s="131" t="s">
        <v>365</v>
      </c>
    </row>
    <row r="2" spans="1:9" ht="15.75" thickBot="1">
      <c r="A2" s="131" t="s">
        <v>143</v>
      </c>
      <c r="B2" s="90">
        <f>AVERAGE(C2:I2)</f>
        <v>19.356057142857143</v>
      </c>
      <c r="C2" s="132">
        <v>19.352399999999999</v>
      </c>
      <c r="D2" s="132">
        <v>19</v>
      </c>
      <c r="E2" s="132">
        <v>19.5</v>
      </c>
      <c r="F2" s="132">
        <v>19.399999999999999</v>
      </c>
      <c r="G2" s="132">
        <v>19.84</v>
      </c>
      <c r="H2" s="132">
        <v>19</v>
      </c>
      <c r="I2" s="132">
        <v>19.399999999999999</v>
      </c>
    </row>
    <row r="3" spans="1:9" ht="15.75" thickBot="1">
      <c r="A3" s="131" t="s">
        <v>135</v>
      </c>
      <c r="B3" s="90">
        <f t="shared" ref="B3:B13" si="0">AVERAGE(C3:I3)</f>
        <v>10.740242857142857</v>
      </c>
      <c r="C3" s="132">
        <v>10.7837</v>
      </c>
      <c r="D3" s="132">
        <v>10.5</v>
      </c>
      <c r="E3" s="132">
        <v>10.77</v>
      </c>
      <c r="F3" s="132">
        <v>10.8</v>
      </c>
      <c r="G3" s="132">
        <v>11.028</v>
      </c>
      <c r="H3" s="132">
        <v>10.5</v>
      </c>
      <c r="I3" s="132">
        <v>10.8</v>
      </c>
    </row>
    <row r="4" spans="1:9" ht="18.75" thickBot="1">
      <c r="A4" s="131" t="s">
        <v>316</v>
      </c>
      <c r="B4" s="90">
        <f t="shared" si="0"/>
        <v>2.7092955178293701</v>
      </c>
      <c r="C4" s="132">
        <v>2.7122999999999999</v>
      </c>
      <c r="D4" s="134">
        <v>2.6962837985342278</v>
      </c>
      <c r="E4" s="134">
        <v>2.7112631529705289</v>
      </c>
      <c r="F4" s="134">
        <v>2.7082672820832685</v>
      </c>
      <c r="G4" s="134">
        <v>2.7772300149700602</v>
      </c>
      <c r="H4" s="134">
        <v>2.6514008233532933</v>
      </c>
      <c r="I4" s="134">
        <v>2.7083235528942113</v>
      </c>
    </row>
    <row r="5" spans="1:9" ht="15.75" thickBot="1">
      <c r="A5" s="131" t="s">
        <v>152</v>
      </c>
      <c r="B5" s="90">
        <f t="shared" si="0"/>
        <v>1.3053857142857141</v>
      </c>
      <c r="C5" s="132">
        <v>1.2837000000000001</v>
      </c>
      <c r="D5" s="132">
        <v>1.325</v>
      </c>
      <c r="E5" s="132">
        <v>1.29</v>
      </c>
      <c r="F5" s="132">
        <v>1.29</v>
      </c>
      <c r="G5" s="132">
        <v>1.3089999999999999</v>
      </c>
      <c r="H5" s="132">
        <v>1.35</v>
      </c>
      <c r="I5" s="132">
        <v>1.29</v>
      </c>
    </row>
    <row r="6" spans="1:9" ht="15.75" thickBot="1">
      <c r="A6" s="131" t="s">
        <v>153</v>
      </c>
      <c r="B6" s="90">
        <f t="shared" si="0"/>
        <v>0.41118333333333329</v>
      </c>
      <c r="C6" s="132">
        <v>0.41210000000000002</v>
      </c>
      <c r="D6" s="132">
        <v>0.41</v>
      </c>
      <c r="E6" s="132">
        <v>0.41199999999999998</v>
      </c>
      <c r="F6" s="132" t="s">
        <v>319</v>
      </c>
      <c r="G6" s="132">
        <v>0.42199999999999999</v>
      </c>
      <c r="H6" s="132">
        <v>0.4</v>
      </c>
      <c r="I6" s="132">
        <v>0.41099999999999998</v>
      </c>
    </row>
    <row r="7" spans="1:9" ht="15.75" thickBot="1">
      <c r="A7" s="131" t="s">
        <v>136</v>
      </c>
      <c r="B7" s="90">
        <f t="shared" si="0"/>
        <v>0.3910142857142857</v>
      </c>
      <c r="C7" s="132">
        <v>0.39910000000000001</v>
      </c>
      <c r="D7" s="132">
        <v>0.38500000000000001</v>
      </c>
      <c r="E7" s="132">
        <v>0.38</v>
      </c>
      <c r="F7" s="132">
        <v>0.39200000000000002</v>
      </c>
      <c r="G7" s="132">
        <v>0.40899999999999997</v>
      </c>
      <c r="H7" s="132">
        <v>0.38</v>
      </c>
      <c r="I7" s="132">
        <v>0.39200000000000002</v>
      </c>
    </row>
    <row r="8" spans="1:9" ht="18.75" thickBot="1">
      <c r="A8" s="131" t="s">
        <v>317</v>
      </c>
      <c r="B8" s="90">
        <f t="shared" si="0"/>
        <v>0.13083052722433608</v>
      </c>
      <c r="C8" s="132">
        <v>0.108</v>
      </c>
      <c r="D8" s="132"/>
      <c r="E8" s="134">
        <v>0.1422457908365041</v>
      </c>
      <c r="F8" s="134">
        <v>0.1422457908365041</v>
      </c>
      <c r="G8" s="132"/>
      <c r="H8" s="132"/>
      <c r="I8" s="132"/>
    </row>
    <row r="9" spans="1:9" ht="15.75" thickBot="1">
      <c r="A9" s="131" t="s">
        <v>206</v>
      </c>
      <c r="B9" s="90">
        <f t="shared" si="0"/>
        <v>6.708571428571429E-2</v>
      </c>
      <c r="C9" s="132">
        <v>6.7299999999999999E-2</v>
      </c>
      <c r="D9" s="132">
        <v>6.7000000000000004E-2</v>
      </c>
      <c r="E9" s="132">
        <v>6.7000000000000004E-2</v>
      </c>
      <c r="F9" s="132">
        <v>6.7299999999999999E-2</v>
      </c>
      <c r="G9" s="132">
        <v>6.9000000000000006E-2</v>
      </c>
      <c r="H9" s="132">
        <v>6.5000000000000002E-2</v>
      </c>
      <c r="I9" s="132">
        <v>6.7000000000000004E-2</v>
      </c>
    </row>
    <row r="10" spans="1:9" ht="18.75" thickBot="1">
      <c r="A10" s="131" t="s">
        <v>406</v>
      </c>
      <c r="B10" s="90">
        <f t="shared" si="0"/>
        <v>2.4815278710836847E-2</v>
      </c>
      <c r="C10" s="132">
        <v>1.9800000000000002E-2</v>
      </c>
      <c r="D10" s="134">
        <v>2.5165598742022014E-2</v>
      </c>
      <c r="E10" s="134">
        <v>2.5165598742022014E-2</v>
      </c>
      <c r="F10" s="134">
        <v>2.5451571454999537E-2</v>
      </c>
      <c r="G10" s="134">
        <v>2.636548163907132E-2</v>
      </c>
      <c r="H10" s="134">
        <v>2.6308289704930165E-2</v>
      </c>
      <c r="I10" s="134">
        <v>2.5450410692812876E-2</v>
      </c>
    </row>
    <row r="11" spans="1:9" ht="15.75" thickBot="1">
      <c r="A11" s="131" t="s">
        <v>155</v>
      </c>
      <c r="B11" s="90">
        <f t="shared" si="0"/>
        <v>8.0257142857142871E-3</v>
      </c>
      <c r="C11" s="132">
        <v>7.9000000000000008E-3</v>
      </c>
      <c r="D11" s="132">
        <v>8.0000000000000002E-3</v>
      </c>
      <c r="E11" s="132">
        <v>8.0000000000000002E-3</v>
      </c>
      <c r="F11" s="132">
        <v>8.0999999999999996E-3</v>
      </c>
      <c r="G11" s="132">
        <v>8.0800000000000004E-3</v>
      </c>
      <c r="H11" s="132">
        <v>8.0000000000000002E-3</v>
      </c>
      <c r="I11" s="132">
        <v>8.0999999999999996E-3</v>
      </c>
    </row>
    <row r="12" spans="1:9" ht="15.75" thickBot="1">
      <c r="A12" s="131" t="s">
        <v>204</v>
      </c>
      <c r="B12" s="90">
        <f t="shared" si="0"/>
        <v>1.2866666666666666E-3</v>
      </c>
      <c r="C12" s="132">
        <v>1.2999999999999999E-3</v>
      </c>
      <c r="D12" s="132"/>
      <c r="E12" s="132">
        <v>1.2999999999999999E-3</v>
      </c>
      <c r="F12" s="132">
        <v>1.2999999999999999E-3</v>
      </c>
      <c r="G12" s="132">
        <v>1.32E-3</v>
      </c>
      <c r="H12" s="132">
        <v>1.1999999999999999E-3</v>
      </c>
      <c r="I12" s="132">
        <v>1.2999999999999999E-3</v>
      </c>
    </row>
    <row r="13" spans="1:9" ht="15.75" thickBot="1">
      <c r="A13" s="131" t="s">
        <v>3</v>
      </c>
      <c r="B13" s="90">
        <f t="shared" si="0"/>
        <v>6.3333333333333332E-5</v>
      </c>
      <c r="C13" s="132">
        <v>8.0000000000000007E-5</v>
      </c>
      <c r="D13" s="132"/>
      <c r="E13" s="132">
        <v>6.0000000000000002E-5</v>
      </c>
      <c r="F13" s="132">
        <v>6.3999999999999997E-5</v>
      </c>
      <c r="G13" s="132">
        <v>5.1999999999999997E-5</v>
      </c>
      <c r="H13" s="132">
        <v>6.0000000000000002E-5</v>
      </c>
      <c r="I13" s="132">
        <v>6.3999999999999997E-5</v>
      </c>
    </row>
    <row r="14" spans="1:9" ht="15.75" thickBot="1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9" ht="15.75" thickBot="1">
      <c r="A15" s="131" t="s">
        <v>366</v>
      </c>
      <c r="B15" s="131"/>
      <c r="C15" s="131"/>
      <c r="D15" s="131"/>
      <c r="E15" s="131">
        <v>1.9999999999999999E-6</v>
      </c>
      <c r="F15" s="131"/>
      <c r="G15" s="131">
        <v>2.7999999999999999E-6</v>
      </c>
      <c r="H15" s="131">
        <v>2.9999999999999997E-4</v>
      </c>
      <c r="I15" s="131">
        <v>2.7999999999999998E-4</v>
      </c>
    </row>
    <row r="16" spans="1:9" ht="15.75" thickBot="1">
      <c r="A16" s="131" t="s">
        <v>367</v>
      </c>
      <c r="B16" s="131"/>
      <c r="C16" s="131"/>
      <c r="D16" s="131"/>
      <c r="E16" s="131">
        <v>4.0000000000000002E-4</v>
      </c>
      <c r="F16" s="131"/>
      <c r="G16" s="131">
        <v>5.5000000000000003E-4</v>
      </c>
      <c r="H16" s="131">
        <v>0.01</v>
      </c>
      <c r="I16" s="131">
        <v>1E-3</v>
      </c>
    </row>
    <row r="17" spans="1:9" ht="15.75" thickBot="1">
      <c r="A17" s="131" t="s">
        <v>368</v>
      </c>
      <c r="B17" s="131"/>
      <c r="C17" s="131"/>
      <c r="D17" s="131"/>
      <c r="E17" s="131">
        <v>3.7000000000000002E-3</v>
      </c>
      <c r="F17" s="131"/>
      <c r="G17" s="131">
        <v>1.8E-3</v>
      </c>
      <c r="H17" s="131">
        <v>3.0000000000000001E-3</v>
      </c>
      <c r="I17" s="131">
        <v>2.5999999999999999E-3</v>
      </c>
    </row>
    <row r="18" spans="1:9" ht="15.75" thickBot="1">
      <c r="A18" s="131" t="s">
        <v>369</v>
      </c>
      <c r="B18" s="131"/>
      <c r="C18" s="131"/>
      <c r="D18" s="131"/>
      <c r="E18" s="131">
        <v>3.9999999999999998E-6</v>
      </c>
      <c r="F18" s="131"/>
      <c r="G18" s="131">
        <v>5.0000000000000004E-6</v>
      </c>
      <c r="H18" s="131">
        <v>1.0000000000000001E-5</v>
      </c>
      <c r="I18" s="131">
        <v>1.1E-4</v>
      </c>
    </row>
    <row r="19" spans="1:9" ht="15.75" thickBot="1">
      <c r="A19" s="131" t="s">
        <v>370</v>
      </c>
      <c r="B19" s="131"/>
      <c r="C19" s="131"/>
      <c r="D19" s="131"/>
      <c r="E19" s="131">
        <v>0.02</v>
      </c>
      <c r="F19" s="131"/>
      <c r="G19" s="131">
        <v>1.41E-2</v>
      </c>
      <c r="H19" s="131">
        <v>0.03</v>
      </c>
      <c r="I19" s="131">
        <v>2.1000000000000001E-2</v>
      </c>
    </row>
    <row r="20" spans="1:9" ht="15" customHeight="1" thickBot="1">
      <c r="A20" s="131" t="s">
        <v>371</v>
      </c>
      <c r="B20" s="131"/>
      <c r="C20" s="131"/>
      <c r="D20" s="131"/>
      <c r="E20" s="131">
        <v>5.5999999999999997E-6</v>
      </c>
      <c r="F20" s="131"/>
      <c r="G20" s="131">
        <v>1.9999999999999999E-7</v>
      </c>
      <c r="H20" s="131">
        <v>5.9999999999999997E-7</v>
      </c>
      <c r="I20" s="131">
        <v>5.9999999999999997E-7</v>
      </c>
    </row>
    <row r="21" spans="1:9" ht="15.75" thickBot="1">
      <c r="A21" s="131" t="s">
        <v>372</v>
      </c>
      <c r="B21" s="131"/>
      <c r="C21" s="131"/>
      <c r="D21" s="131"/>
      <c r="E21" s="131">
        <v>2.0000000000000002E-5</v>
      </c>
      <c r="F21" s="131"/>
      <c r="G21" s="131"/>
      <c r="H21" s="131">
        <v>2.0000000000000002E-5</v>
      </c>
      <c r="I21" s="131">
        <v>2.0000000000000002E-5</v>
      </c>
    </row>
    <row r="22" spans="1:9" ht="15.75" thickBot="1">
      <c r="A22" s="131" t="s">
        <v>373</v>
      </c>
      <c r="B22" s="131"/>
      <c r="C22" s="131"/>
      <c r="D22" s="131"/>
      <c r="E22" s="131">
        <v>1E-4</v>
      </c>
      <c r="F22" s="131"/>
      <c r="G22" s="131">
        <v>8.0599999999999994E-5</v>
      </c>
      <c r="H22" s="131">
        <v>1.1E-4</v>
      </c>
      <c r="I22" s="131">
        <v>1.1E-4</v>
      </c>
    </row>
    <row r="23" spans="1:9" ht="15.75" thickBot="1">
      <c r="A23" s="131" t="s">
        <v>374</v>
      </c>
      <c r="B23" s="131"/>
      <c r="C23" s="131"/>
      <c r="D23" s="131"/>
      <c r="E23" s="131">
        <v>3.0000000000000001E-6</v>
      </c>
      <c r="F23" s="131"/>
      <c r="G23" s="131">
        <v>1.1999999999999999E-6</v>
      </c>
      <c r="H23" s="131">
        <v>4.0000000000000002E-4</v>
      </c>
      <c r="I23" s="131">
        <v>3.8999999999999999E-4</v>
      </c>
    </row>
    <row r="24" spans="1:9" ht="15.75" thickBot="1">
      <c r="A24" s="131" t="s">
        <v>375</v>
      </c>
      <c r="B24" s="131"/>
      <c r="C24" s="131"/>
      <c r="D24" s="131"/>
      <c r="E24" s="131">
        <v>2.9999999999999997E-4</v>
      </c>
      <c r="F24" s="131"/>
      <c r="G24" s="131">
        <v>2.1320000000000001E-4</v>
      </c>
      <c r="H24" s="131">
        <v>5.0000000000000002E-5</v>
      </c>
      <c r="I24" s="131">
        <v>2.0000000000000001E-4</v>
      </c>
    </row>
    <row r="25" spans="1:9" ht="15.75" thickBot="1">
      <c r="A25" s="131" t="s">
        <v>376</v>
      </c>
      <c r="B25" s="131"/>
      <c r="C25" s="131"/>
      <c r="D25" s="131"/>
      <c r="E25" s="131">
        <v>4.0000000000000002E-4</v>
      </c>
      <c r="F25" s="131"/>
      <c r="G25" s="131">
        <v>2.9970000000000002E-4</v>
      </c>
      <c r="H25" s="131">
        <v>2.9999999999999997E-4</v>
      </c>
      <c r="I25" s="131">
        <v>2.9999999999999997E-4</v>
      </c>
    </row>
    <row r="26" spans="1:9" ht="15.75" thickBot="1">
      <c r="A26" s="131" t="s">
        <v>377</v>
      </c>
      <c r="B26" s="131"/>
      <c r="C26" s="131"/>
      <c r="D26" s="131"/>
      <c r="E26" s="131">
        <v>1E-4</v>
      </c>
      <c r="F26" s="131"/>
      <c r="G26" s="131">
        <v>2.5999999999999998E-4</v>
      </c>
      <c r="H26" s="131">
        <v>3.0000000000000001E-3</v>
      </c>
      <c r="I26" s="131">
        <v>8.9999999999999998E-4</v>
      </c>
    </row>
    <row r="27" spans="1:9" ht="15.75" thickBot="1">
      <c r="A27" s="131" t="s">
        <v>378</v>
      </c>
      <c r="B27" s="131"/>
      <c r="C27" s="131"/>
      <c r="D27" s="131"/>
      <c r="E27" s="131">
        <v>1E-4</v>
      </c>
      <c r="F27" s="131"/>
      <c r="G27" s="131">
        <v>1E-4</v>
      </c>
      <c r="H27" s="131">
        <v>0.01</v>
      </c>
      <c r="I27" s="131">
        <v>3.3999999999999998E-3</v>
      </c>
    </row>
    <row r="28" spans="1:9" ht="15.75" thickBot="1">
      <c r="A28" s="131" t="s">
        <v>379</v>
      </c>
      <c r="B28" s="131"/>
      <c r="C28" s="131"/>
      <c r="D28" s="131"/>
      <c r="E28" s="131">
        <v>1.9999999999999999E-6</v>
      </c>
      <c r="F28" s="131"/>
      <c r="G28" s="131">
        <v>4.8300000000000002E-5</v>
      </c>
      <c r="H28" s="131">
        <v>3.0000000000000001E-5</v>
      </c>
      <c r="I28" s="131">
        <v>6.9999999999999997E-7</v>
      </c>
    </row>
    <row r="29" spans="1:9" ht="15.75" thickBot="1">
      <c r="A29" s="131" t="s">
        <v>380</v>
      </c>
      <c r="B29" s="131"/>
      <c r="C29" s="131"/>
      <c r="D29" s="131"/>
      <c r="E29" s="131">
        <v>5.0000000000000004E-6</v>
      </c>
      <c r="F29" s="131"/>
      <c r="G29" s="131">
        <v>5.2000000000000002E-6</v>
      </c>
      <c r="H29" s="131">
        <v>6.0000000000000002E-5</v>
      </c>
      <c r="I29" s="131">
        <v>6.0000000000000002E-5</v>
      </c>
    </row>
    <row r="30" spans="1:9" ht="15.75" thickBot="1">
      <c r="A30" s="131" t="s">
        <v>381</v>
      </c>
      <c r="B30" s="131"/>
      <c r="C30" s="131"/>
      <c r="D30" s="131"/>
      <c r="E30" s="131">
        <v>9.9999999999999995E-7</v>
      </c>
      <c r="F30" s="131"/>
      <c r="G30" s="131"/>
      <c r="H30" s="131">
        <v>2.0000000000000001E-4</v>
      </c>
      <c r="I30" s="131">
        <v>1.4999999999999999E-4</v>
      </c>
    </row>
    <row r="31" spans="1:9" ht="15.75" thickBot="1">
      <c r="A31" s="131" t="s">
        <v>382</v>
      </c>
      <c r="B31" s="131"/>
      <c r="C31" s="131"/>
      <c r="D31" s="131"/>
      <c r="E31" s="131">
        <v>9.9999999999999995E-8</v>
      </c>
      <c r="F31" s="131"/>
      <c r="G31" s="131">
        <v>9.9999999999999995E-8</v>
      </c>
      <c r="H31" s="131">
        <v>3.9999999999999998E-6</v>
      </c>
      <c r="I31" s="131"/>
    </row>
    <row r="32" spans="1:9" ht="15.75" thickBot="1">
      <c r="A32" s="131" t="s">
        <v>383</v>
      </c>
      <c r="B32" s="131"/>
      <c r="C32" s="131"/>
      <c r="D32" s="131"/>
      <c r="E32" s="131">
        <v>0.18</v>
      </c>
      <c r="F32" s="131"/>
      <c r="G32" s="131">
        <v>0.17680000000000001</v>
      </c>
      <c r="H32" s="131">
        <v>0.17</v>
      </c>
      <c r="I32" s="131">
        <v>0.17</v>
      </c>
    </row>
    <row r="33" spans="1:9" ht="15.75" thickBot="1">
      <c r="A33" s="131" t="s">
        <v>384</v>
      </c>
      <c r="B33" s="131"/>
      <c r="C33" s="131"/>
      <c r="D33" s="131"/>
      <c r="E33" s="131">
        <v>1E-4</v>
      </c>
      <c r="F33" s="131"/>
      <c r="G33" s="131">
        <v>2.8099999999999999E-5</v>
      </c>
      <c r="H33" s="131">
        <v>2E-3</v>
      </c>
      <c r="I33" s="131">
        <v>4.0000000000000002E-4</v>
      </c>
    </row>
    <row r="34" spans="1:9" ht="15.75" thickBot="1">
      <c r="A34" s="131" t="s">
        <v>385</v>
      </c>
      <c r="B34" s="131"/>
      <c r="C34" s="131"/>
      <c r="D34" s="131"/>
      <c r="E34" s="131">
        <v>0.01</v>
      </c>
      <c r="F34" s="131"/>
      <c r="G34" s="131">
        <v>1.0800000000000001E-2</v>
      </c>
      <c r="H34" s="131">
        <v>0.01</v>
      </c>
      <c r="I34" s="131">
        <v>0.01</v>
      </c>
    </row>
    <row r="35" spans="1:9" ht="15.75" thickBot="1">
      <c r="A35" s="131" t="s">
        <v>386</v>
      </c>
      <c r="B35" s="131"/>
      <c r="C35" s="131"/>
      <c r="D35" s="131"/>
      <c r="E35" s="131">
        <v>11.5</v>
      </c>
      <c r="F35" s="131"/>
      <c r="G35" s="131">
        <v>14.3</v>
      </c>
      <c r="H35" s="131">
        <v>15</v>
      </c>
      <c r="I35" s="131">
        <v>15.5</v>
      </c>
    </row>
    <row r="36" spans="1:9" ht="15.75" thickBot="1">
      <c r="A36" s="131" t="s">
        <v>387</v>
      </c>
      <c r="B36" s="131"/>
      <c r="C36" s="131"/>
      <c r="D36" s="131"/>
      <c r="E36" s="131">
        <v>1.0000000000000001E-5</v>
      </c>
      <c r="F36" s="131"/>
      <c r="G36" s="131">
        <v>4.7999999999999998E-6</v>
      </c>
      <c r="H36" s="131">
        <v>1.0000000000000001E-5</v>
      </c>
      <c r="I36" s="131">
        <v>1.5E-5</v>
      </c>
    </row>
    <row r="37" spans="1:9" ht="15.75" thickBot="1">
      <c r="A37" s="131" t="s">
        <v>388</v>
      </c>
      <c r="B37" s="131"/>
      <c r="C37" s="131"/>
      <c r="D37" s="131"/>
      <c r="E37" s="131">
        <v>5.0000000000000001E-4</v>
      </c>
      <c r="F37" s="131"/>
      <c r="G37" s="131">
        <v>5.0000000000000001E-4</v>
      </c>
      <c r="H37" s="131">
        <v>7.0000000000000001E-3</v>
      </c>
      <c r="I37" s="131">
        <v>6.6E-3</v>
      </c>
    </row>
    <row r="38" spans="1:9" ht="15.75" thickBot="1">
      <c r="A38" s="131" t="s">
        <v>389</v>
      </c>
      <c r="B38" s="131"/>
      <c r="C38" s="131"/>
      <c r="D38" s="131"/>
      <c r="E38" s="131">
        <v>0.06</v>
      </c>
      <c r="F38" s="131"/>
      <c r="G38" s="131"/>
      <c r="H38" s="131">
        <v>7.0000000000000007E-2</v>
      </c>
      <c r="I38" s="131">
        <v>8.7999999999999995E-2</v>
      </c>
    </row>
    <row r="39" spans="1:9" ht="15.75" thickBot="1">
      <c r="A39" s="131" t="s">
        <v>390</v>
      </c>
      <c r="B39" s="131"/>
      <c r="C39" s="131"/>
      <c r="D39" s="131"/>
      <c r="E39" s="131">
        <v>1.9999999999999999E-6</v>
      </c>
      <c r="F39" s="131"/>
      <c r="G39" s="131"/>
      <c r="H39" s="131">
        <v>3.0000000000000001E-5</v>
      </c>
      <c r="I39" s="131">
        <v>3.0000000000000001E-5</v>
      </c>
    </row>
    <row r="40" spans="1:9" ht="15.75" thickBot="1">
      <c r="A40" s="131" t="s">
        <v>391</v>
      </c>
      <c r="B40" s="131"/>
      <c r="C40" s="131"/>
      <c r="D40" s="131"/>
      <c r="E40" s="131">
        <v>0.12</v>
      </c>
      <c r="F40" s="131"/>
      <c r="G40" s="131">
        <v>0.1227</v>
      </c>
      <c r="H40" s="131">
        <v>0.12</v>
      </c>
      <c r="I40" s="131">
        <v>0.12</v>
      </c>
    </row>
    <row r="41" spans="1:9" ht="14.45" customHeight="1" thickBot="1">
      <c r="A41" s="131" t="s">
        <v>392</v>
      </c>
      <c r="B41" s="131"/>
      <c r="C41" s="131"/>
      <c r="D41" s="131"/>
      <c r="E41" s="131">
        <v>2.4000000000000001E-4</v>
      </c>
      <c r="F41" s="131"/>
      <c r="G41" s="131">
        <v>1.4980000000000001E-4</v>
      </c>
      <c r="H41" s="131">
        <v>2.9999999999999997E-4</v>
      </c>
      <c r="I41" s="131">
        <v>3.3E-4</v>
      </c>
    </row>
    <row r="42" spans="1:9" ht="15.75" thickBot="1">
      <c r="A42" s="131" t="s">
        <v>393</v>
      </c>
      <c r="B42" s="131"/>
      <c r="C42" s="131"/>
      <c r="D42" s="131"/>
      <c r="E42" s="131">
        <v>2.0000000000000001E-4</v>
      </c>
      <c r="F42" s="131"/>
      <c r="G42" s="131">
        <v>1.3999999999999999E-4</v>
      </c>
      <c r="H42" s="131">
        <v>1.0000000000000001E-5</v>
      </c>
      <c r="I42" s="131">
        <v>8.9999999999999998E-4</v>
      </c>
    </row>
    <row r="43" spans="1:9" ht="15.75" thickBot="1">
      <c r="A43" s="131" t="s">
        <v>394</v>
      </c>
      <c r="B43" s="131"/>
      <c r="C43" s="131"/>
      <c r="D43" s="131"/>
      <c r="E43" s="131">
        <v>2</v>
      </c>
      <c r="F43" s="131"/>
      <c r="G43" s="131">
        <v>2.88</v>
      </c>
      <c r="H43" s="131">
        <v>3</v>
      </c>
      <c r="I43" s="131">
        <v>2.9</v>
      </c>
    </row>
    <row r="44" spans="1:9" ht="15.75" thickBot="1">
      <c r="A44" s="131" t="s">
        <v>395</v>
      </c>
      <c r="B44" s="131"/>
      <c r="C44" s="131"/>
      <c r="D44" s="131"/>
      <c r="E44" s="131">
        <v>5.9999999999999997E-7</v>
      </c>
      <c r="F44" s="131"/>
      <c r="G44" s="131">
        <v>4.9999999999999998E-7</v>
      </c>
      <c r="H44" s="131">
        <v>8.0000000000000004E-4</v>
      </c>
      <c r="I44" s="131">
        <v>8.0999999999999996E-4</v>
      </c>
    </row>
    <row r="45" spans="1:9" ht="15.75" thickBot="1">
      <c r="A45" s="131" t="s">
        <v>396</v>
      </c>
      <c r="B45" s="131"/>
      <c r="C45" s="131"/>
      <c r="D45" s="131"/>
      <c r="E45" s="131">
        <v>8</v>
      </c>
      <c r="F45" s="131"/>
      <c r="G45" s="131">
        <v>8.08</v>
      </c>
      <c r="H45" s="131">
        <v>8</v>
      </c>
      <c r="I45" s="131">
        <v>8.1</v>
      </c>
    </row>
    <row r="46" spans="1:9" ht="15.75" thickBot="1">
      <c r="A46" s="131" t="s">
        <v>397</v>
      </c>
      <c r="B46" s="131"/>
      <c r="C46" s="131"/>
      <c r="D46" s="131"/>
      <c r="E46" s="131">
        <v>1E-3</v>
      </c>
      <c r="F46" s="131"/>
      <c r="G46" s="131">
        <v>9.7999999999999997E-4</v>
      </c>
      <c r="H46" s="131">
        <v>1E-3</v>
      </c>
      <c r="I46" s="131">
        <v>1E-3</v>
      </c>
    </row>
    <row r="47" spans="1:9" ht="15.75" thickBot="1">
      <c r="A47" s="131" t="s">
        <v>398</v>
      </c>
      <c r="B47" s="131"/>
      <c r="C47" s="131"/>
      <c r="D47" s="131"/>
      <c r="E47" s="131">
        <v>2.5000000000000001E-3</v>
      </c>
      <c r="F47" s="131"/>
      <c r="G47" s="131">
        <v>1.6000000000000001E-3</v>
      </c>
      <c r="H47" s="131">
        <v>2E-3</v>
      </c>
      <c r="I47" s="131">
        <v>1.9E-3</v>
      </c>
    </row>
    <row r="48" spans="1:9" ht="15.75" thickBot="1">
      <c r="A48" s="131" t="s">
        <v>399</v>
      </c>
      <c r="B48" s="131"/>
      <c r="C48" s="131"/>
      <c r="D48" s="131"/>
      <c r="E48" s="131">
        <v>1E-4</v>
      </c>
      <c r="F48" s="131"/>
      <c r="G48" s="131">
        <v>9.4199999999999999E-5</v>
      </c>
      <c r="H48" s="131">
        <v>1E-4</v>
      </c>
      <c r="I48" s="131" t="s">
        <v>400</v>
      </c>
    </row>
    <row r="49" spans="1:12" ht="15.75" thickBot="1">
      <c r="A49" s="131" t="s">
        <v>401</v>
      </c>
      <c r="B49" s="131"/>
      <c r="C49" s="131"/>
      <c r="D49" s="131"/>
      <c r="E49" s="131">
        <v>1.5999999999999999E-6</v>
      </c>
      <c r="F49" s="131"/>
      <c r="G49" s="131">
        <v>1.3699999999999999E-5</v>
      </c>
      <c r="H49" s="131">
        <v>1.0000000000000001E-5</v>
      </c>
      <c r="I49" s="131">
        <v>1.2999999999999999E-5</v>
      </c>
    </row>
    <row r="50" spans="1:12" ht="15.75" thickBot="1">
      <c r="A50" s="131" t="s">
        <v>402</v>
      </c>
      <c r="B50" s="131"/>
      <c r="C50" s="131"/>
      <c r="D50" s="131"/>
      <c r="E50" s="131">
        <v>5.0000000000000001E-4</v>
      </c>
      <c r="F50" s="131"/>
      <c r="G50" s="131">
        <v>4.0000000000000002E-4</v>
      </c>
      <c r="H50" s="131">
        <v>0.01</v>
      </c>
      <c r="I50" s="131">
        <v>5.0000000000000001E-3</v>
      </c>
    </row>
    <row r="51" spans="1:12" ht="15.75" thickBot="1">
      <c r="A51" s="131" t="s">
        <v>403</v>
      </c>
      <c r="B51" s="131"/>
      <c r="C51" s="131"/>
      <c r="D51" s="131"/>
      <c r="E51" s="131">
        <v>3.0000000000000001E-5</v>
      </c>
      <c r="F51" s="131"/>
      <c r="G51" s="131">
        <v>2.8099999999999999E-5</v>
      </c>
      <c r="H51" s="131">
        <v>2.0000000000000002E-5</v>
      </c>
      <c r="I51" s="131">
        <v>2.5999999999999998E-5</v>
      </c>
    </row>
    <row r="54" spans="1:12">
      <c r="F54" s="57"/>
      <c r="G54" s="133"/>
      <c r="H54" s="133"/>
      <c r="I54" s="133"/>
    </row>
    <row r="55" spans="1:12">
      <c r="F55" s="57"/>
      <c r="G55" s="133"/>
      <c r="H55" s="133"/>
      <c r="I55" s="133"/>
    </row>
    <row r="56" spans="1:12">
      <c r="F56" s="57"/>
      <c r="G56" s="133"/>
      <c r="H56" s="133"/>
      <c r="I56" s="133"/>
    </row>
    <row r="58" spans="1:12">
      <c r="C58" s="140">
        <f>'Таблица Менделеева'!D7</f>
        <v>22.989799999999999</v>
      </c>
      <c r="D58">
        <f>'Таблица Менделеева'!G7</f>
        <v>24.312000000000001</v>
      </c>
      <c r="E58" s="141">
        <f>'Таблица Менделеева'!G9</f>
        <v>40.08</v>
      </c>
      <c r="F58">
        <f>'Таблица Менделеева'!D9</f>
        <v>39.101999999999997</v>
      </c>
      <c r="G58" s="141">
        <f>'Таблица Менделеева'!G13</f>
        <v>87.62</v>
      </c>
      <c r="H58">
        <f>'Таблица Менделеева'!V7</f>
        <v>35.453000000000003</v>
      </c>
      <c r="I58">
        <f>Реактивы!E33</f>
        <v>96.061599999999999</v>
      </c>
      <c r="J58">
        <f>'Таблица Менделеева'!J5+3*'Таблица Менделеева'!S5</f>
        <v>58.809199999999997</v>
      </c>
      <c r="K58">
        <f>Реактивы!E34</f>
        <v>61.016349999999996</v>
      </c>
    </row>
    <row r="59" spans="1:12">
      <c r="A59" t="s">
        <v>411</v>
      </c>
      <c r="B59" t="s">
        <v>410</v>
      </c>
      <c r="C59" t="s">
        <v>135</v>
      </c>
      <c r="D59" t="s">
        <v>152</v>
      </c>
      <c r="E59" t="s">
        <v>153</v>
      </c>
      <c r="F59" t="s">
        <v>136</v>
      </c>
      <c r="G59" t="s">
        <v>155</v>
      </c>
      <c r="H59" t="s">
        <v>412</v>
      </c>
      <c r="I59" t="s">
        <v>413</v>
      </c>
      <c r="J59" t="s">
        <v>414</v>
      </c>
      <c r="K59" t="s">
        <v>415</v>
      </c>
      <c r="L59" s="139" t="s">
        <v>429</v>
      </c>
    </row>
    <row r="60" spans="1:12">
      <c r="A60" t="s">
        <v>416</v>
      </c>
      <c r="B60">
        <v>35</v>
      </c>
      <c r="C60">
        <v>470</v>
      </c>
      <c r="D60">
        <v>53</v>
      </c>
      <c r="E60">
        <v>10.3</v>
      </c>
      <c r="F60">
        <v>10.199999999999999</v>
      </c>
      <c r="G60">
        <v>0.09</v>
      </c>
      <c r="H60">
        <v>550</v>
      </c>
      <c r="I60">
        <v>28</v>
      </c>
      <c r="J60">
        <v>0.42</v>
      </c>
      <c r="K60">
        <v>1.9</v>
      </c>
      <c r="L60">
        <v>22.989799999999999</v>
      </c>
    </row>
    <row r="61" spans="1:12">
      <c r="A61" t="s">
        <v>417</v>
      </c>
      <c r="B61">
        <v>29.65</v>
      </c>
      <c r="C61">
        <v>462</v>
      </c>
      <c r="D61">
        <v>52</v>
      </c>
      <c r="E61">
        <v>9</v>
      </c>
      <c r="F61">
        <v>9.4</v>
      </c>
      <c r="G61">
        <v>0.19</v>
      </c>
      <c r="H61">
        <v>521</v>
      </c>
      <c r="I61">
        <v>23</v>
      </c>
      <c r="J61">
        <v>0.44</v>
      </c>
      <c r="K61">
        <v>1.9</v>
      </c>
      <c r="L61">
        <v>24.305</v>
      </c>
    </row>
    <row r="62" spans="1:12">
      <c r="A62" t="s">
        <v>418</v>
      </c>
      <c r="B62">
        <v>32.64</v>
      </c>
      <c r="C62">
        <v>442</v>
      </c>
      <c r="D62">
        <v>46</v>
      </c>
      <c r="E62">
        <v>8.9</v>
      </c>
      <c r="F62">
        <v>9.1</v>
      </c>
      <c r="G62">
        <v>0.08</v>
      </c>
      <c r="H62">
        <v>497</v>
      </c>
      <c r="I62">
        <v>21</v>
      </c>
      <c r="J62">
        <v>0.36</v>
      </c>
      <c r="K62">
        <v>1.1000000000000001</v>
      </c>
      <c r="L62">
        <v>40.08</v>
      </c>
    </row>
    <row r="63" spans="1:12">
      <c r="A63" t="s">
        <v>419</v>
      </c>
      <c r="B63">
        <v>29.4</v>
      </c>
      <c r="C63">
        <v>467</v>
      </c>
      <c r="D63">
        <v>53</v>
      </c>
      <c r="E63">
        <v>9</v>
      </c>
      <c r="F63">
        <v>10.1</v>
      </c>
      <c r="G63">
        <v>0.15</v>
      </c>
      <c r="H63">
        <v>538</v>
      </c>
      <c r="I63">
        <v>28</v>
      </c>
      <c r="J63">
        <v>0.41</v>
      </c>
      <c r="K63">
        <v>2.1</v>
      </c>
      <c r="L63">
        <v>39.097999999999999</v>
      </c>
    </row>
    <row r="64" spans="1:12">
      <c r="A64" t="s">
        <v>420</v>
      </c>
      <c r="B64">
        <v>28.91</v>
      </c>
      <c r="C64">
        <v>461</v>
      </c>
      <c r="D64">
        <v>50</v>
      </c>
      <c r="E64">
        <v>9.3000000000000007</v>
      </c>
      <c r="F64">
        <v>9.5</v>
      </c>
      <c r="G64">
        <v>0.08</v>
      </c>
      <c r="H64">
        <v>520</v>
      </c>
      <c r="I64">
        <v>27</v>
      </c>
      <c r="J64">
        <v>0.65</v>
      </c>
      <c r="K64">
        <v>0.75</v>
      </c>
      <c r="L64">
        <v>87.62</v>
      </c>
    </row>
    <row r="65" spans="1:12">
      <c r="A65" t="s">
        <v>421</v>
      </c>
      <c r="B65">
        <v>30.07</v>
      </c>
      <c r="C65">
        <v>472</v>
      </c>
      <c r="D65">
        <v>55</v>
      </c>
      <c r="E65">
        <v>9</v>
      </c>
      <c r="F65">
        <v>9.9</v>
      </c>
      <c r="G65">
        <v>0.1</v>
      </c>
      <c r="H65">
        <v>537</v>
      </c>
      <c r="I65">
        <v>25</v>
      </c>
      <c r="J65">
        <v>0.54</v>
      </c>
      <c r="K65">
        <v>1.08</v>
      </c>
      <c r="L65">
        <v>35.453000000000003</v>
      </c>
    </row>
    <row r="66" spans="1:12">
      <c r="A66" t="s">
        <v>422</v>
      </c>
      <c r="B66">
        <v>28.85</v>
      </c>
      <c r="C66">
        <v>460</v>
      </c>
      <c r="D66">
        <v>57</v>
      </c>
      <c r="E66">
        <v>10.4</v>
      </c>
      <c r="F66">
        <v>10.1</v>
      </c>
      <c r="G66">
        <v>0.1</v>
      </c>
      <c r="H66">
        <v>531</v>
      </c>
      <c r="I66">
        <v>24</v>
      </c>
      <c r="J66">
        <v>0.54</v>
      </c>
      <c r="K66">
        <v>2.52</v>
      </c>
      <c r="L66" t="s">
        <v>423</v>
      </c>
    </row>
    <row r="67" spans="1:12">
      <c r="A67" t="s">
        <v>424</v>
      </c>
      <c r="B67">
        <v>28.39</v>
      </c>
      <c r="C67">
        <v>464</v>
      </c>
      <c r="D67">
        <v>63</v>
      </c>
      <c r="E67">
        <v>10.1</v>
      </c>
      <c r="F67">
        <v>9.3000000000000007</v>
      </c>
      <c r="G67">
        <v>0.08</v>
      </c>
      <c r="H67">
        <v>566</v>
      </c>
      <c r="I67">
        <v>15</v>
      </c>
      <c r="J67">
        <v>1.26</v>
      </c>
      <c r="K67">
        <v>0.32</v>
      </c>
      <c r="L67" t="s">
        <v>425</v>
      </c>
    </row>
    <row r="68" spans="1:12">
      <c r="A68" t="s">
        <v>409</v>
      </c>
      <c r="B68">
        <v>29.54</v>
      </c>
      <c r="C68">
        <v>504</v>
      </c>
      <c r="D68">
        <v>37</v>
      </c>
      <c r="E68">
        <v>10.1</v>
      </c>
      <c r="F68">
        <v>10.7</v>
      </c>
      <c r="G68">
        <v>0.21</v>
      </c>
      <c r="H68">
        <v>516</v>
      </c>
      <c r="I68">
        <v>37</v>
      </c>
      <c r="J68">
        <v>4.9000000000000004</v>
      </c>
      <c r="K68">
        <v>0.12</v>
      </c>
      <c r="L68" t="s">
        <v>426</v>
      </c>
    </row>
    <row r="70" spans="1:12">
      <c r="A70" t="s">
        <v>427</v>
      </c>
    </row>
    <row r="71" spans="1:12">
      <c r="A71" t="s">
        <v>428</v>
      </c>
    </row>
    <row r="72" spans="1:12">
      <c r="C72" s="142" t="str">
        <f>C59</f>
        <v>Na</v>
      </c>
      <c r="D72" s="142" t="str">
        <f t="shared" ref="D72:K72" si="1">D59</f>
        <v>Mg</v>
      </c>
      <c r="E72" s="142" t="str">
        <f t="shared" si="1"/>
        <v>Ca</v>
      </c>
      <c r="F72" s="142" t="str">
        <f t="shared" si="1"/>
        <v>K</v>
      </c>
      <c r="G72" s="142" t="str">
        <f t="shared" si="1"/>
        <v>Sr</v>
      </c>
      <c r="H72" s="142" t="str">
        <f t="shared" si="1"/>
        <v>Cl-</v>
      </c>
      <c r="I72" s="142" t="str">
        <f t="shared" si="1"/>
        <v>SO4-</v>
      </c>
      <c r="J72" s="142" t="str">
        <f t="shared" si="1"/>
        <v>BO3</v>
      </c>
      <c r="K72" s="142" t="str">
        <f t="shared" si="1"/>
        <v>HCO3-</v>
      </c>
    </row>
    <row r="73" spans="1:12">
      <c r="A73" s="142" t="str">
        <f>A60</f>
        <v>Seawater</v>
      </c>
      <c r="C73">
        <f>C60*C$58/1000</f>
        <v>10.805206</v>
      </c>
      <c r="D73">
        <f t="shared" ref="D73:K73" si="2">D60*D$58/1000</f>
        <v>1.2885360000000001</v>
      </c>
      <c r="E73">
        <f t="shared" si="2"/>
        <v>0.41282400000000002</v>
      </c>
      <c r="F73">
        <f t="shared" si="2"/>
        <v>0.39884039999999993</v>
      </c>
      <c r="G73">
        <f t="shared" si="2"/>
        <v>7.8858000000000001E-3</v>
      </c>
      <c r="H73">
        <f t="shared" si="2"/>
        <v>19.49915</v>
      </c>
      <c r="I73">
        <f t="shared" si="2"/>
        <v>2.6897248</v>
      </c>
      <c r="J73">
        <f t="shared" si="2"/>
        <v>2.4699863999999998E-2</v>
      </c>
      <c r="K73">
        <f t="shared" si="2"/>
        <v>0.11593106499999999</v>
      </c>
    </row>
    <row r="74" spans="1:12">
      <c r="A74" s="142" t="str">
        <f t="shared" ref="A74:A81" si="3">A61</f>
        <v>Instant Ocean</v>
      </c>
      <c r="C74">
        <f t="shared" ref="C74:K81" si="4">C61*C$58/1000</f>
        <v>10.6212876</v>
      </c>
      <c r="D74">
        <f t="shared" si="4"/>
        <v>1.2642240000000002</v>
      </c>
      <c r="E74">
        <f t="shared" si="4"/>
        <v>0.36071999999999999</v>
      </c>
      <c r="F74">
        <f t="shared" si="4"/>
        <v>0.36755879999999996</v>
      </c>
      <c r="G74">
        <f t="shared" si="4"/>
        <v>1.6647800000000001E-2</v>
      </c>
      <c r="H74">
        <f t="shared" si="4"/>
        <v>18.471013000000003</v>
      </c>
      <c r="I74">
        <f t="shared" si="4"/>
        <v>2.2094168000000001</v>
      </c>
      <c r="J74">
        <f t="shared" si="4"/>
        <v>2.5876047999999999E-2</v>
      </c>
      <c r="K74">
        <f t="shared" si="4"/>
        <v>0.11593106499999999</v>
      </c>
    </row>
    <row r="75" spans="1:12">
      <c r="A75" s="142" t="str">
        <f t="shared" si="3"/>
        <v>Tropic Marin</v>
      </c>
      <c r="C75">
        <f t="shared" si="4"/>
        <v>10.1614916</v>
      </c>
      <c r="D75">
        <f t="shared" si="4"/>
        <v>1.118352</v>
      </c>
      <c r="E75">
        <f t="shared" si="4"/>
        <v>0.35671199999999997</v>
      </c>
      <c r="F75">
        <f t="shared" si="4"/>
        <v>0.35582819999999998</v>
      </c>
      <c r="G75">
        <f t="shared" si="4"/>
        <v>7.0096000000000004E-3</v>
      </c>
      <c r="H75">
        <f t="shared" si="4"/>
        <v>17.620141000000004</v>
      </c>
      <c r="I75">
        <f t="shared" si="4"/>
        <v>2.0172935999999999</v>
      </c>
      <c r="J75">
        <f t="shared" si="4"/>
        <v>2.1171311999999998E-2</v>
      </c>
      <c r="K75">
        <f t="shared" si="4"/>
        <v>6.7117985000000005E-2</v>
      </c>
    </row>
    <row r="76" spans="1:12">
      <c r="A76" s="142" t="str">
        <f t="shared" si="3"/>
        <v>HW Marine Mix</v>
      </c>
      <c r="C76">
        <f t="shared" si="4"/>
        <v>10.7362366</v>
      </c>
      <c r="D76">
        <f t="shared" si="4"/>
        <v>1.2885360000000001</v>
      </c>
      <c r="E76">
        <f t="shared" si="4"/>
        <v>0.36071999999999999</v>
      </c>
      <c r="F76">
        <f t="shared" si="4"/>
        <v>0.39493019999999995</v>
      </c>
      <c r="G76">
        <f t="shared" si="4"/>
        <v>1.3143E-2</v>
      </c>
      <c r="H76">
        <f t="shared" si="4"/>
        <v>19.073713999999999</v>
      </c>
      <c r="I76">
        <f t="shared" si="4"/>
        <v>2.6897248</v>
      </c>
      <c r="J76">
        <f t="shared" si="4"/>
        <v>2.4111772E-2</v>
      </c>
      <c r="K76">
        <f t="shared" si="4"/>
        <v>0.12813433499999999</v>
      </c>
    </row>
    <row r="77" spans="1:12">
      <c r="A77" s="142" t="str">
        <f t="shared" si="3"/>
        <v>Reef Crystals</v>
      </c>
      <c r="C77">
        <f t="shared" si="4"/>
        <v>10.598297800000001</v>
      </c>
      <c r="D77">
        <f t="shared" si="4"/>
        <v>1.2156000000000002</v>
      </c>
      <c r="E77">
        <f t="shared" si="4"/>
        <v>0.37274400000000002</v>
      </c>
      <c r="F77">
        <f t="shared" si="4"/>
        <v>0.37146899999999999</v>
      </c>
      <c r="G77">
        <f t="shared" si="4"/>
        <v>7.0096000000000004E-3</v>
      </c>
      <c r="H77">
        <f t="shared" si="4"/>
        <v>18.435560000000002</v>
      </c>
      <c r="I77">
        <f t="shared" si="4"/>
        <v>2.5936631999999999</v>
      </c>
      <c r="J77">
        <f t="shared" si="4"/>
        <v>3.822598E-2</v>
      </c>
      <c r="K77">
        <f t="shared" si="4"/>
        <v>4.5762262499999998E-2</v>
      </c>
    </row>
    <row r="78" spans="1:12">
      <c r="A78" s="142" t="str">
        <f t="shared" si="3"/>
        <v>Red Sea Salt</v>
      </c>
      <c r="C78">
        <f t="shared" si="4"/>
        <v>10.851185599999999</v>
      </c>
      <c r="D78">
        <f t="shared" si="4"/>
        <v>1.3371600000000001</v>
      </c>
      <c r="E78">
        <f t="shared" si="4"/>
        <v>0.36071999999999999</v>
      </c>
      <c r="F78">
        <f t="shared" si="4"/>
        <v>0.3871098</v>
      </c>
      <c r="G78">
        <f t="shared" si="4"/>
        <v>8.7620000000000007E-3</v>
      </c>
      <c r="H78">
        <f t="shared" si="4"/>
        <v>19.038261000000002</v>
      </c>
      <c r="I78">
        <f t="shared" si="4"/>
        <v>2.4015399999999998</v>
      </c>
      <c r="J78">
        <f t="shared" si="4"/>
        <v>3.1756968000000003E-2</v>
      </c>
      <c r="K78">
        <f t="shared" si="4"/>
        <v>6.5897657999999998E-2</v>
      </c>
    </row>
    <row r="79" spans="1:12">
      <c r="A79" s="142" t="str">
        <f t="shared" si="3"/>
        <v>Kent</v>
      </c>
      <c r="C79">
        <f t="shared" si="4"/>
        <v>10.575308</v>
      </c>
      <c r="D79">
        <f t="shared" si="4"/>
        <v>1.3857840000000001</v>
      </c>
      <c r="E79">
        <f t="shared" si="4"/>
        <v>0.41683199999999998</v>
      </c>
      <c r="F79">
        <f t="shared" si="4"/>
        <v>0.39493019999999995</v>
      </c>
      <c r="G79">
        <f t="shared" si="4"/>
        <v>8.7620000000000007E-3</v>
      </c>
      <c r="H79">
        <f t="shared" si="4"/>
        <v>18.825543000000003</v>
      </c>
      <c r="I79">
        <f t="shared" si="4"/>
        <v>2.3054784000000001</v>
      </c>
      <c r="J79">
        <f t="shared" si="4"/>
        <v>3.1756968000000003E-2</v>
      </c>
      <c r="K79">
        <f t="shared" si="4"/>
        <v>0.15376120199999999</v>
      </c>
    </row>
    <row r="80" spans="1:12">
      <c r="A80" s="142" t="str">
        <f t="shared" si="3"/>
        <v>Coralife</v>
      </c>
      <c r="C80">
        <f t="shared" si="4"/>
        <v>10.6672672</v>
      </c>
      <c r="D80">
        <f t="shared" si="4"/>
        <v>1.5316560000000001</v>
      </c>
      <c r="E80">
        <f t="shared" si="4"/>
        <v>0.404808</v>
      </c>
      <c r="F80">
        <f t="shared" si="4"/>
        <v>0.36364859999999999</v>
      </c>
      <c r="G80">
        <f t="shared" si="4"/>
        <v>7.0096000000000004E-3</v>
      </c>
      <c r="H80">
        <f t="shared" si="4"/>
        <v>20.066398</v>
      </c>
      <c r="I80">
        <f t="shared" si="4"/>
        <v>1.4409239999999999</v>
      </c>
      <c r="J80">
        <f t="shared" si="4"/>
        <v>7.4099592000000006E-2</v>
      </c>
      <c r="K80">
        <f t="shared" si="4"/>
        <v>1.9525232E-2</v>
      </c>
    </row>
    <row r="81" spans="1:11">
      <c r="A81" s="142" t="str">
        <f t="shared" si="3"/>
        <v>SeaChem</v>
      </c>
      <c r="C81">
        <f t="shared" si="4"/>
        <v>11.586859199999999</v>
      </c>
      <c r="D81">
        <f t="shared" si="4"/>
        <v>0.89954400000000012</v>
      </c>
      <c r="E81">
        <f t="shared" si="4"/>
        <v>0.404808</v>
      </c>
      <c r="F81">
        <f t="shared" si="4"/>
        <v>0.41839139999999991</v>
      </c>
      <c r="G81">
        <f t="shared" si="4"/>
        <v>1.8400200000000002E-2</v>
      </c>
      <c r="H81">
        <f t="shared" si="4"/>
        <v>18.293748000000004</v>
      </c>
      <c r="I81">
        <f t="shared" si="4"/>
        <v>3.5542791999999999</v>
      </c>
      <c r="J81">
        <f t="shared" si="4"/>
        <v>0.28816507999999996</v>
      </c>
      <c r="K81">
        <f t="shared" si="4"/>
        <v>7.3219619999999996E-3</v>
      </c>
    </row>
    <row r="82" spans="1:11">
      <c r="A82" s="183" t="s">
        <v>458</v>
      </c>
      <c r="C82">
        <v>10.752000000000001</v>
      </c>
      <c r="D82">
        <v>1.2949999999999999</v>
      </c>
      <c r="E82">
        <v>0.41599999999999998</v>
      </c>
      <c r="F82">
        <v>0.39</v>
      </c>
      <c r="G82">
        <v>1.2999999999999999E-2</v>
      </c>
      <c r="H82">
        <v>19.344999999999999</v>
      </c>
      <c r="I82">
        <v>2.7</v>
      </c>
    </row>
  </sheetData>
  <phoneticPr fontId="76" type="noConversion"/>
  <hyperlinks>
    <hyperlink ref="D1" r:id="rId1" display="NSW"/>
    <hyperlink ref="E1" r:id="rId2" display="nsw"/>
    <hyperlink ref="F1" r:id="rId3" display="nsw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Рецепты</vt:lpstr>
      <vt:lpstr>Balling</vt:lpstr>
      <vt:lpstr>Антифос</vt:lpstr>
      <vt:lpstr>Рецепт 2-компонентный</vt:lpstr>
      <vt:lpstr>Расчеты1</vt:lpstr>
      <vt:lpstr>Расчеты2</vt:lpstr>
      <vt:lpstr>Расчеты3</vt:lpstr>
      <vt:lpstr>Микроэлементы</vt:lpstr>
      <vt:lpstr>NSW</vt:lpstr>
      <vt:lpstr>Реактивы</vt:lpstr>
      <vt:lpstr>Таблица Менделеева</vt:lpstr>
      <vt:lpstr>Растворимость солей</vt:lpstr>
      <vt:lpstr>MgCl2</vt:lpstr>
      <vt:lpstr>MgSO4</vt:lpstr>
      <vt:lpstr>mgsulphate</vt:lpstr>
      <vt:lpstr>Na2SO4</vt:lpstr>
      <vt:lpstr>Рецепты!NaSulphate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Vahe</cp:lastModifiedBy>
  <cp:lastPrinted>2009-01-05T13:35:41Z</cp:lastPrinted>
  <dcterms:created xsi:type="dcterms:W3CDTF">2009-01-05T06:33:26Z</dcterms:created>
  <dcterms:modified xsi:type="dcterms:W3CDTF">2012-02-09T16:16:48Z</dcterms:modified>
</cp:coreProperties>
</file>